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09220BC7-8A1D-4540-BCFD-FA096FA43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용마재고이동현황" sheetId="1017" r:id="rId10"/>
    <sheet name="지급품재고" sheetId="1095" r:id="rId11"/>
    <sheet name="입고품목" sheetId="1021" state="hidden" r:id="rId12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9" hidden="1">용마재고이동현황!$A$1:$Z$1</definedName>
    <definedName name="_xlnm._FilterDatabase" localSheetId="11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M311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CK343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<sst xmlns="http://schemas.openxmlformats.org/spreadsheetml/2006/main" count="38397" uniqueCount="12153">
  <si>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</si>
  <si>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</si>
  <si>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</si>
  <si>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</si>
  <si>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</si>
  <si>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</si>
  <si>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</si>
  <si>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</si>
  <si>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</si>
  <si>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</si>
  <si>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</si>
  <si>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</si>
  <si>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</si>
  <si>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</si>
  <si>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</si>
  <si>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</si>
  <si>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</si>
  <si>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</si>
  <si>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</si>
  <si>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</si>
  <si>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</si>
  <si>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</si>
  <si>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</si>
  <si>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</si>
  <si>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</si>
  <si>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</si>
  <si>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</si>
  <si>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</si>
  <si>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</si>
  <si>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</si>
  <si>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</si>
  <si>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</si>
  <si>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</si>
  <si>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</si>
  <si>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</si>
  <si>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</si>
  <si>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</si>
  <si>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</si>
  <si>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</si>
  <si>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</si>
  <si>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</si>
  <si>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</si>
  <si>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</si>
  <si>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</si>
  <si>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</si>
  <si>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</si>
  <si>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</si>
  <si>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</si>
  <si>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</si>
  <si>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</si>
  <si>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</si>
  <si>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</si>
  <si>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</si>
  <si>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</si>
  <si>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</si>
  <si>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</si>
  <si>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</si>
  <si>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</si>
  <si>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</si>
  <si>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</si>
  <si>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</si>
  <si>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</si>
  <si>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</si>
  <si>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</si>
  <si>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</si>
  <si>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</si>
  <si>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</si>
  <si>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</si>
  <si>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</si>
  <si>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</si>
  <si>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</si>
  <si>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</si>
  <si>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</si>
  <si>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</si>
  <si>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</si>
  <si>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</si>
  <si>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</si>
  <si>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</si>
  <si>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</si>
  <si>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</si>
  <si>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</si>
  <si>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</si>
  <si>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</si>
  <si>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</si>
  <si>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</si>
  <si>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</si>
  <si>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</si>
  <si>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</si>
  <si>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</si>
  <si>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</si>
  <si>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</si>
  <si>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</si>
  <si>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</si>
  <si>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</si>
  <si>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</si>
  <si>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</si>
  <si>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</si>
  <si>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</si>
  <si>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</si>
  <si>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</si>
  <si>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</si>
  <si>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</si>
  <si>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</si>
  <si>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</si>
  <si>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</si>
  <si>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</si>
  <si>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</si>
  <si>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</si>
  <si>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</si>
  <si>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</si>
  <si>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</si>
  <si>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</si>
  <si>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</si>
  <si>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</si>
  <si>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</si>
  <si>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</si>
  <si>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</si>
  <si>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</si>
  <si>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</si>
  <si>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</si>
  <si>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</si>
  <si>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</si>
  <si>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</si>
  <si>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</si>
  <si>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</si>
  <si>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</si>
  <si>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</si>
  <si>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</si>
  <si>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</si>
  <si>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</si>
  <si>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</si>
  <si>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</si>
  <si>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</si>
  <si>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</si>
  <si>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</si>
  <si>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</si>
  <si>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</si>
  <si>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</si>
  <si>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</si>
  <si>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</si>
  <si>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</si>
  <si>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</si>
  <si>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</si>
  <si>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</si>
  <si>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</si>
  <si>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</si>
  <si>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</si>
  <si>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</si>
  <si>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</si>
  <si>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</si>
  <si>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</si>
  <si>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</si>
  <si>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</si>
  <si>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</si>
  <si>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</si>
  <si>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</si>
  <si>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</si>
  <si>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</si>
  <si>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</si>
  <si>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</si>
  <si>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</si>
  <si>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</si>
  <si>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</si>
  <si>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</si>
  <si>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</si>
  <si>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</si>
  <si>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</si>
  <si>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</si>
  <si>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</si>
  <si>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</si>
  <si>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</si>
  <si>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</si>
  <si>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</si>
  <si>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</si>
  <si>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</si>
  <si>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</si>
  <si>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</si>
  <si>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</si>
  <si>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</si>
  <si>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</si>
  <si>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</si>
  <si>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</si>
  <si>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</si>
  <si>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</si>
  <si>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</si>
  <si>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</si>
  <si>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</si>
  <si>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</si>
  <si>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</si>
  <si>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</si>
  <si>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</si>
  <si>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</si>
  <si>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</si>
  <si>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</si>
  <si>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</si>
  <si>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</si>
  <si>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</si>
  <si>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</si>
  <si>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</si>
  <si>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</si>
  <si>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</si>
  <si>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</si>
  <si>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</si>
  <si>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</si>
  <si>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</si>
  <si>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</si>
  <si>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</si>
  <si>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</si>
  <si>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</si>
  <si>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</si>
  <si>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</si>
  <si>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</si>
  <si>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</si>
  <si>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</si>
  <si>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</si>
  <si>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</si>
  <si>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</si>
  <si>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</si>
  <si>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</si>
  <si>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</si>
  <si>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</si>
  <si>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</si>
  <si>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</si>
  <si>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</si>
  <si>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</si>
  <si>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</si>
  <si>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</si>
  <si>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</si>
  <si>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</si>
  <si>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</si>
  <si>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</si>
  <si>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</si>
  <si>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</si>
  <si>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</si>
  <si>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</si>
  <si>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</si>
  <si>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</si>
  <si>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</si>
  <si>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</si>
  <si>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</si>
  <si>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</si>
  <si>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</si>
  <si>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</si>
  <si>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</si>
  <si>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</si>
  <si>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</si>
  <si>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</si>
  <si>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</si>
  <si>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</si>
  <si>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</si>
  <si>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</si>
  <si>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</si>
  <si>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</si>
  <si>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</si>
  <si>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</si>
  <si>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</si>
  <si>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</si>
  <si>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</si>
  <si>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</si>
  <si>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</si>
  <si>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</si>
  <si>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</si>
  <si>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</si>
  <si>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</si>
  <si>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</si>
  <si>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</si>
  <si>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</si>
  <si>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</si>
  <si>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</si>
  <si>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</si>
  <si>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</si>
  <si>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</si>
  <si>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</si>
  <si>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</si>
  <si>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</si>
  <si>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</si>
  <si>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</si>
  <si>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</si>
  <si>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</si>
  <si>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</si>
  <si>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</si>
  <si>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</si>
  <si>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</si>
  <si>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</si>
  <si>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</si>
  <si>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</si>
  <si>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</si>
  <si>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</si>
  <si>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</si>
  <si>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</si>
  <si>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</si>
  <si>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</si>
  <si>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</si>
  <si>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</si>
  <si>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</si>
  <si>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</si>
  <si>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</si>
  <si>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</si>
  <si>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</si>
  <si>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</si>
  <si>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</si>
  <si>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</si>
  <si>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</si>
  <si>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</si>
  <si>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</si>
  <si>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</si>
  <si>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</si>
  <si>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</si>
  <si>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</si>
  <si>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</si>
  <si>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</si>
  <si>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</si>
  <si>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</si>
  <si>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</si>
  <si>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</si>
  <si>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</si>
  <si>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</si>
  <si>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</si>
  <si>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</si>
  <si>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</si>
  <si>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</si>
  <si>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</si>
  <si>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</si>
  <si>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</si>
  <si>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</si>
  <si>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</si>
  <si>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</si>
  <si>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</si>
  <si>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</si>
  <si>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</si>
  <si>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</si>
  <si>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</si>
  <si>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</si>
  <si>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</si>
  <si>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</si>
  <si>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</si>
  <si>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</si>
  <si>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</si>
  <si>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</si>
  <si>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</si>
  <si>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</si>
  <si>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</si>
  <si>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</si>
  <si>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</si>
  <si>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</si>
  <si>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</si>
  <si>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</si>
  <si>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</si>
  <si>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</si>
  <si>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</si>
  <si>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</si>
  <si>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</si>
  <si>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</si>
  <si>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</si>
  <si>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</si>
  <si>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</si>
  <si>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</si>
  <si>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</si>
  <si>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</si>
  <si>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</si>
  <si>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</si>
  <si>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</si>
  <si>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</si>
  <si>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</si>
  <si>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</si>
  <si>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</si>
  <si>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</si>
  <si>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</si>
  <si>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</si>
  <si>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</si>
  <si>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</si>
  <si>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</si>
  <si>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</si>
  <si>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</si>
  <si>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</si>
  <si>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</si>
  <si>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</si>
  <si>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</si>
  <si>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</si>
  <si>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</si>
  <si>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</si>
  <si>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</si>
  <si>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</si>
  <si>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</si>
  <si>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</si>
  <si>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</si>
  <si>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</si>
  <si>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</si>
  <si>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</si>
  <si>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</si>
  <si>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</si>
  <si>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</si>
  <si>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</si>
  <si>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</si>
  <si>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</si>
  <si>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</si>
  <si>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</si>
  <si>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</si>
  <si>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</si>
  <si>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</si>
  <si>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</si>
  <si>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</si>
  <si>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</si>
  <si>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</si>
  <si>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</si>
  <si>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</si>
  <si>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</si>
  <si>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</si>
  <si>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</si>
  <si>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</si>
  <si>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</si>
  <si>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</si>
  <si>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</si>
  <si>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</si>
  <si>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</si>
  <si>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</si>
  <si>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</si>
  <si>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</si>
  <si>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</si>
  <si>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</si>
  <si>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</si>
  <si>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</si>
  <si>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</si>
  <si>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</si>
  <si>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</si>
  <si>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</si>
  <si>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</si>
  <si>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</si>
  <si>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</si>
  <si>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</si>
  <si>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</si>
  <si>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</si>
  <si>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</si>
  <si>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</si>
  <si>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</si>
  <si>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</si>
  <si>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</si>
  <si>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</si>
  <si>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</si>
  <si>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</si>
  <si>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</si>
  <si>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</si>
  <si>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</si>
  <si>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</si>
  <si>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</si>
  <si>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</si>
  <si>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</si>
  <si>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</si>
  <si>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</si>
  <si>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</si>
  <si>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</si>
  <si>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</si>
  <si>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</si>
  <si>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</si>
  <si>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</si>
  <si>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</si>
  <si>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</si>
  <si>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</si>
  <si>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</si>
  <si>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</si>
  <si>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</si>
  <si>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</si>
  <si>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</si>
  <si>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</si>
  <si>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</si>
  <si>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</si>
  <si>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</si>
  <si>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</si>
  <si>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</si>
  <si>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</si>
  <si>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</si>
  <si>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</si>
  <si>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</si>
  <si>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</si>
  <si>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</si>
  <si>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</si>
  <si>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</si>
  <si>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</si>
  <si>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</si>
  <si>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</si>
  <si>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</si>
  <si>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</si>
  <si>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</si>
  <si>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</si>
  <si>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</si>
  <si>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</si>
  <si>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</si>
  <si>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</si>
  <si>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</si>
  <si>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</si>
  <si>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</si>
  <si>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</si>
  <si>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</si>
  <si>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</si>
  <si>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</si>
  <si>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</si>
  <si>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</si>
  <si>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</si>
  <si>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</si>
  <si>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</si>
  <si>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</si>
  <si>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</si>
  <si>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</si>
  <si>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</si>
  <si>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</si>
  <si>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</si>
  <si>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</si>
  <si>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</si>
  <si>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</si>
  <si>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</si>
  <si>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</si>
  <si>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</si>
  <si>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</si>
  <si>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</si>
  <si>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</si>
  <si>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</si>
  <si>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</si>
  <si>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</si>
  <si>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</si>
  <si>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</si>
  <si>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</si>
  <si>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</si>
  <si>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</si>
  <si>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</si>
  <si>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</si>
  <si>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</si>
  <si>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</si>
  <si>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</si>
  <si>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</si>
  <si>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</si>
  <si>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</si>
  <si>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</si>
  <si>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</si>
  <si>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</si>
  <si>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</si>
  <si>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</si>
  <si>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</si>
  <si>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</si>
  <si>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</si>
  <si>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</si>
  <si>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</si>
  <si>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</si>
  <si>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</si>
  <si>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</si>
  <si>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</si>
  <si>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</si>
  <si>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</si>
  <si>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</si>
  <si>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</si>
  <si>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</si>
  <si>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</si>
  <si>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</si>
  <si>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</si>
  <si>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</si>
  <si>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</si>
  <si>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</si>
  <si>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</si>
  <si>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</si>
  <si>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</si>
  <si>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</si>
  <si>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</si>
  <si>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</si>
  <si>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</si>
  <si>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</si>
  <si>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</si>
  <si>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</si>
  <si>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</si>
  <si>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</si>
  <si>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</si>
  <si>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</si>
  <si>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</si>
  <si>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</si>
  <si>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</si>
  <si>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</si>
  <si>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</si>
  <si>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</si>
  <si>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</si>
  <si>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</si>
  <si>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</si>
  <si>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</si>
  <si>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</si>
  <si>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</si>
  <si>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</si>
  <si>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</si>
  <si>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</si>
  <si>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</si>
  <si>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</si>
  <si>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</si>
  <si>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</si>
  <si>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</si>
  <si>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</si>
  <si>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</si>
  <si>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</si>
  <si>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</si>
  <si>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</si>
  <si>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</si>
  <si>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</si>
  <si>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</si>
  <si>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</si>
  <si>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</si>
  <si>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</si>
  <si>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</si>
  <si>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</si>
  <si>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</si>
  <si>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</si>
  <si>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</si>
  <si>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</si>
  <si>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</si>
  <si>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</si>
  <si>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</si>
  <si>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</si>
  <si>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</si>
  <si>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</si>
  <si>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</si>
  <si>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</si>
  <si>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</si>
  <si>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</si>
  <si>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</si>
  <si>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</si>
  <si>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</si>
  <si>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</si>
  <si>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</si>
  <si>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</si>
  <si>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</si>
  <si>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</si>
  <si>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</si>
  <si>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</si>
  <si>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</si>
  <si>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</si>
  <si>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</si>
  <si>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</si>
  <si>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</si>
  <si>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</si>
  <si>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</si>
  <si>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</si>
  <si>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</si>
  <si>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</si>
  <si>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</si>
  <si>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</si>
  <si>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</si>
  <si>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</si>
  <si>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</si>
  <si>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</si>
  <si>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</si>
  <si>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</si>
  <si>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</si>
  <si>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</si>
  <si>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</si>
  <si>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</si>
  <si>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</si>
  <si>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</si>
  <si>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</si>
  <si>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</si>
  <si>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</si>
  <si>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</si>
  <si>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</si>
  <si>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</si>
  <si>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</si>
  <si>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</si>
  <si>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</si>
  <si>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</si>
  <si>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</si>
  <si>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</si>
  <si>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</si>
  <si>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</si>
  <si>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</si>
  <si>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</si>
  <si>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</si>
  <si>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</si>
  <si>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</si>
  <si>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</si>
  <si>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</si>
  <si>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</si>
  <si>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</si>
  <si>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</si>
  <si>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</si>
  <si>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</si>
  <si>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</si>
  <si>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</si>
  <si>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</si>
  <si>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</si>
  <si>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</si>
  <si>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</si>
  <si>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</si>
  <si>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</si>
  <si>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</si>
  <si>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</si>
  <si>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</si>
  <si>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</si>
  <si>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</si>
  <si>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</si>
  <si>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</si>
  <si>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</si>
  <si>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</si>
  <si>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</si>
  <si>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</si>
  <si>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</si>
  <si>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</si>
  <si>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</si>
  <si>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</si>
  <si>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</si>
  <si>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</si>
  <si>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</si>
  <si>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</si>
  <si>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</si>
  <si>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</si>
  <si>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</si>
  <si>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</si>
  <si>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</si>
  <si>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</si>
  <si>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</si>
  <si>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</si>
  <si>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</si>
  <si>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</si>
  <si>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</si>
  <si>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</si>
  <si>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</si>
  <si>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</si>
  <si>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</si>
  <si>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</si>
  <si>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</si>
  <si>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</si>
  <si>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</si>
  <si>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</si>
  <si>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</si>
  <si>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</si>
  <si>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</si>
  <si>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</si>
  <si>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</si>
  <si>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</si>
  <si>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</si>
  <si>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</si>
  <si>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</si>
  <si>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</si>
  <si>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</si>
  <si>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</si>
  <si>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</si>
  <si>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</si>
  <si>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</si>
  <si>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</si>
  <si>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</si>
  <si>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</si>
  <si>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</si>
  <si>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</si>
  <si>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</si>
  <si>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</si>
  <si>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</si>
  <si>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</si>
  <si>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</si>
  <si>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</si>
  <si>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</si>
  <si>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</si>
  <si>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</si>
  <si>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</si>
  <si>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</si>
  <si>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</si>
  <si>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</si>
  <si>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</si>
  <si>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</si>
  <si>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</si>
  <si>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</si>
  <si>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</si>
  <si>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</si>
  <si>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</si>
  <si>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</si>
  <si>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</si>
  <si>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</si>
  <si>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</si>
  <si>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</si>
  <si>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</si>
  <si>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</si>
  <si>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</si>
  <si>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</si>
  <si>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</si>
  <si>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</si>
  <si>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</si>
  <si>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</si>
  <si>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</si>
  <si>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</si>
  <si>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</si>
  <si>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</si>
  <si>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</si>
  <si>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</si>
  <si>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</si>
  <si>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</si>
  <si>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</si>
  <si>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</si>
  <si>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</si>
  <si>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</si>
  <si>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</si>
  <si>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</si>
  <si>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</si>
  <si>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</si>
  <si>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</si>
  <si>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</si>
  <si>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</si>
  <si>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</si>
  <si>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</si>
  <si>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</si>
  <si>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</si>
  <si>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</si>
  <si>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</si>
  <si>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</si>
  <si>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</si>
  <si>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</si>
  <si>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</si>
  <si>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</si>
  <si>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</si>
  <si>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</si>
  <si>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</si>
  <si>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</si>
  <si>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</si>
  <si>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</si>
  <si>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</si>
  <si>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</si>
  <si>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</si>
  <si>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</si>
  <si>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</si>
  <si>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</si>
  <si>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</si>
  <si>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</si>
  <si>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</si>
  <si>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</si>
  <si>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</si>
  <si>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</si>
  <si>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</si>
  <si>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</si>
  <si>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</si>
  <si>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</si>
  <si>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</si>
  <si>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</si>
  <si>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</si>
  <si>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</si>
  <si>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</si>
  <si>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</si>
  <si>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</si>
  <si>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</si>
  <si>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</si>
  <si>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</si>
  <si>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</si>
  <si>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</si>
  <si>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</si>
  <si>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</si>
  <si>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</si>
  <si>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</si>
  <si>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</si>
  <si>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</si>
  <si>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</si>
  <si>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</si>
  <si>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</si>
  <si>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</si>
  <si>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</si>
  <si>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</si>
  <si>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</si>
  <si>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</si>
  <si>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</si>
  <si>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</si>
  <si>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</si>
  <si>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</si>
  <si>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</si>
  <si>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</si>
  <si>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</si>
  <si>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</si>
  <si>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</si>
  <si>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</si>
  <si>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</si>
  <si>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</si>
  <si>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</si>
  <si>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</si>
  <si>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</si>
  <si>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</si>
  <si>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</si>
  <si>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</si>
  <si>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</si>
  <si>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</si>
  <si>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</si>
  <si>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</si>
  <si>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</si>
  <si>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</si>
  <si>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</si>
  <si>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</si>
  <si>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</si>
  <si>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</si>
  <si>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</si>
  <si>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</si>
  <si>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</si>
  <si>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</si>
  <si>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</si>
  <si>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</si>
  <si>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</si>
  <si>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</si>
  <si>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</si>
  <si>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</si>
  <si>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</si>
  <si>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</si>
  <si>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</si>
  <si>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</si>
  <si>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</si>
  <si>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</si>
  <si>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</si>
  <si>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</si>
  <si>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</si>
  <si>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</si>
  <si>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</si>
  <si>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</si>
  <si>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</si>
  <si>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</si>
  <si>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</si>
  <si>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</si>
  <si>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</si>
  <si>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</si>
  <si>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</si>
  <si>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</si>
  <si>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</si>
  <si>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</si>
  <si>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</si>
  <si>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</si>
  <si>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</si>
  <si>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</si>
  <si>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</si>
  <si>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</si>
  <si>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</si>
  <si>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</si>
  <si>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</si>
  <si>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</si>
  <si>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</si>
  <si>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</si>
  <si>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</si>
  <si>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</si>
  <si>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</si>
  <si>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</si>
  <si>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</si>
  <si>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</si>
  <si>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</si>
  <si>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</si>
  <si>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</si>
  <si>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</si>
  <si>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</si>
  <si>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</si>
  <si>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</si>
  <si>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</si>
  <si>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</si>
  <si>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</si>
  <si>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</si>
  <si>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</si>
  <si>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</si>
  <si>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</si>
  <si>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</si>
  <si>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</si>
  <si>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</si>
  <si>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</si>
  <si>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</si>
  <si>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</si>
  <si>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</si>
  <si>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</si>
  <si>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</si>
  <si>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</si>
  <si>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</si>
  <si>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</si>
  <si>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</si>
  <si>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</si>
  <si>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</si>
  <si>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</si>
  <si>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</si>
  <si>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</si>
  <si>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</si>
  <si>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</si>
  <si>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</si>
  <si>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</si>
  <si>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</si>
  <si>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</si>
  <si>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</si>
  <si>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</si>
  <si>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</si>
  <si>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</si>
  <si>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</si>
  <si>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</si>
  <si>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</si>
  <si>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</si>
  <si>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</si>
  <si>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</si>
  <si>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</si>
  <si>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</si>
  <si>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</si>
  <si>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</si>
  <si>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</si>
  <si>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</si>
  <si>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</si>
  <si>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</si>
  <si>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</si>
  <si>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</si>
  <si>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</si>
  <si>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</si>
  <si>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</si>
  <si>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</si>
  <si>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</si>
  <si>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</si>
  <si>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</si>
  <si>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</si>
  <si>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</si>
  <si>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</si>
  <si>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</si>
  <si>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</si>
  <si>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</si>
  <si>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</si>
  <si>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</si>
  <si>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</si>
  <si>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</si>
  <si>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</si>
  <si>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</si>
  <si>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</si>
  <si>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</si>
  <si>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</si>
  <si>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</si>
  <si>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</si>
  <si>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</si>
  <si>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</si>
  <si>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</si>
  <si>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</si>
  <si>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</si>
  <si>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</si>
  <si>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</si>
  <si>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</si>
  <si>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</si>
  <si>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</si>
  <si>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</si>
  <si>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</si>
  <si>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</si>
  <si>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</si>
  <si>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</si>
  <si>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</si>
  <si>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</si>
  <si>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</si>
  <si>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</si>
  <si>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</si>
  <si>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</si>
  <si>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</si>
  <si>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</si>
  <si>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</si>
  <si>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</si>
  <si>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</si>
  <si>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</si>
  <si>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</si>
  <si>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</si>
  <si>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</si>
  <si>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</si>
  <si>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</si>
  <si>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</si>
  <si>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</si>
  <si>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</si>
  <si>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</si>
  <si>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</si>
  <si>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</si>
  <si>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</si>
  <si>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</si>
  <si>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</si>
  <si>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</si>
  <si>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</si>
  <si>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</si>
  <si>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</si>
  <si>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</si>
  <si>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</si>
  <si>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</si>
  <si>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</si>
  <si>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</si>
  <si>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</si>
  <si>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</si>
  <si>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</si>
  <si>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</si>
  <si>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</si>
  <si>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</si>
  <si>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</si>
  <si>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</si>
  <si>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</si>
  <si>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</si>
  <si>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</si>
  <si>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</si>
  <si>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</si>
  <si>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</si>
  <si>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</si>
  <si>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</si>
  <si>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</si>
  <si>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</si>
  <si>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</si>
  <si>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</si>
  <si>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</si>
  <si>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</si>
  <si>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</si>
  <si>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</si>
  <si>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</si>
  <si>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</si>
  <si>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</si>
  <si>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</si>
  <si>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</si>
  <si>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</si>
  <si>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</si>
  <si>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</si>
  <si>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</si>
  <si>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</si>
  <si>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</si>
  <si>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</si>
  <si>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</si>
  <si>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</si>
  <si>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</si>
  <si>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</si>
  <si>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</si>
  <si>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</si>
  <si>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</si>
  <si>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</si>
  <si>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</si>
  <si>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</si>
  <si>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</si>
  <si>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</si>
  <si>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</si>
  <si>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</si>
  <si>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</si>
  <si>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</si>
  <si>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</si>
  <si>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</si>
  <si>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</si>
  <si>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</si>
  <si>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</si>
  <si>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</si>
  <si>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</si>
  <si>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</si>
  <si>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</si>
  <si>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</si>
  <si>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</si>
  <si>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</si>
  <si>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</si>
  <si>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</si>
  <si>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</si>
  <si>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</si>
  <si>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</si>
  <si>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</si>
  <si>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</si>
  <si>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</si>
  <si>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</si>
  <si>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</si>
  <si>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</si>
  <si>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</si>
  <si>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</si>
  <si>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</si>
  <si>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</si>
  <si>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</si>
  <si>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</si>
  <si>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</si>
  <si>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</si>
  <si>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</si>
  <si>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</si>
  <si>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</si>
  <si>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</si>
  <si>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</si>
  <si>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</si>
  <si>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</si>
  <si>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</si>
  <si>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</si>
  <si>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</si>
  <si>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</si>
  <si>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</si>
  <si>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</si>
  <si>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</si>
  <si>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</si>
  <si>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</si>
  <si>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</si>
  <si>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</si>
  <si>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</si>
  <si>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</si>
  <si>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</si>
  <si>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</si>
  <si>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</si>
  <si>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</si>
  <si>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</si>
  <si>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</si>
  <si>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</si>
  <si>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</si>
  <si>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</si>
  <si>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</si>
  <si>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</si>
  <si>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</si>
  <si>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</si>
  <si>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</si>
  <si>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</si>
  <si>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</si>
  <si>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</si>
  <si>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</si>
  <si>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</si>
  <si>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</si>
  <si>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</si>
  <si>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</si>
  <si>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</si>
  <si>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</si>
  <si>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</si>
  <si>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</si>
  <si>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</si>
  <si>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</si>
  <si>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</si>
  <si>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</si>
  <si>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</si>
  <si>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</si>
  <si>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</si>
  <si>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</si>
  <si>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</si>
  <si>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</si>
  <si>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</si>
  <si>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</si>
  <si>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</si>
  <si>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</si>
  <si>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</si>
  <si>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</si>
  <si>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</si>
  <si>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</si>
  <si>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</si>
  <si>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</si>
  <si>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</si>
  <si>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</si>
  <si>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</si>
  <si>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</si>
  <si>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</si>
  <si>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</si>
  <si>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</si>
  <si>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</si>
  <si>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</si>
  <si>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</si>
  <si>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</si>
  <si>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</si>
  <si>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</si>
  <si>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</si>
  <si>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</si>
  <si>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</si>
  <si>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</si>
  <si>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</si>
  <si>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</si>
  <si>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</si>
  <si>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</si>
  <si>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</si>
  <si>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</si>
  <si>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</si>
  <si>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</si>
  <si>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</si>
  <si>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</si>
  <si>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</si>
  <si>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</si>
  <si>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</si>
  <si>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</si>
  <si>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</si>
  <si>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</si>
  <si>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</si>
  <si>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</si>
  <si>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</si>
  <si>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</si>
  <si>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</si>
  <si>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</si>
  <si>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</si>
  <si>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</si>
  <si>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</si>
  <si>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</si>
  <si>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</si>
  <si>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</si>
  <si>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</si>
  <si>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</si>
  <si>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</si>
  <si>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</si>
  <si>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</si>
  <si>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</si>
  <si>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</si>
  <si>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</si>
  <si>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</si>
  <si>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</si>
  <si>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</si>
  <si>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</si>
  <si>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</si>
  <si>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</si>
  <si>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</si>
  <si>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</si>
  <si>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</si>
  <si>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</si>
  <si>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</si>
  <si>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</si>
  <si>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</si>
  <si>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</si>
  <si>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</si>
  <si>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</si>
  <si>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</si>
  <si>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</si>
  <si>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</si>
  <si>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</si>
  <si>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</si>
  <si>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</si>
  <si>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</si>
  <si>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</si>
  <si>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</si>
  <si>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</si>
  <si>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</si>
  <si>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</si>
  <si>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</si>
  <si>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</si>
  <si>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</si>
  <si>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</si>
  <si>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</si>
  <si>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</si>
  <si>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</si>
  <si>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</si>
  <si>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</si>
  <si>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</si>
  <si>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</si>
  <si>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</si>
  <si>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</si>
  <si>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</si>
  <si>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</si>
  <si>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</si>
  <si>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</si>
  <si>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</si>
  <si>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</si>
  <si>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</si>
  <si>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</si>
  <si>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</si>
  <si>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</si>
  <si>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</si>
  <si>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</si>
  <si>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</si>
  <si>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</si>
  <si>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</si>
  <si>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</si>
  <si>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</si>
  <si>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</si>
  <si>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</si>
  <si>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</si>
  <si>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</si>
  <si>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</si>
  <si>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</si>
  <si>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</si>
  <si>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</si>
  <si>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</si>
  <si>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</si>
  <si>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</si>
  <si>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</si>
  <si>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</si>
  <si>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</si>
  <si>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</si>
  <si>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</si>
  <si>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</si>
  <si>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</si>
  <si>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</si>
  <si>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</si>
  <si>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</si>
  <si>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</si>
  <si>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</si>
  <si>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</si>
  <si>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</si>
  <si>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</si>
  <si>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</si>
  <si>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</si>
  <si>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</si>
  <si>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</si>
  <si>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</si>
  <si>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</si>
  <si>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</si>
  <si>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</si>
  <si>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</si>
  <si>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</si>
  <si>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</si>
  <si>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</si>
  <si>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</si>
  <si>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</si>
  <si>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</si>
  <si>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</si>
  <si>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</si>
  <si>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</si>
  <si>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</si>
  <si>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</si>
  <si>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</si>
  <si>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</si>
  <si>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</si>
  <si>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</si>
  <si>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</si>
  <si>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</si>
  <si>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</si>
  <si>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</si>
  <si>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</si>
  <si>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</si>
  <si>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</si>
  <si>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</si>
  <si>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</si>
  <si>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</si>
  <si>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</si>
  <si>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</si>
  <si>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</si>
  <si>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</si>
  <si>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</si>
  <si>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</si>
  <si>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</si>
  <si>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</si>
  <si>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</si>
  <si>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</si>
  <si>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</si>
  <si>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</si>
  <si>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</si>
  <si>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</si>
  <si>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</si>
  <si>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</si>
  <si>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</si>
  <si>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</si>
  <si>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</si>
  <si>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</si>
  <si>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</si>
  <si>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</si>
  <si>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</si>
  <si>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</si>
  <si>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</si>
  <si>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</si>
  <si>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</si>
  <si>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</si>
  <si>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</si>
  <si>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</si>
  <si>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</si>
  <si>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</si>
  <si>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</si>
  <si>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</si>
  <si>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</si>
  <si>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</si>
  <si>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</si>
  <si>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</si>
  <si>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</si>
  <si>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</si>
  <si>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</si>
  <si>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</si>
  <si>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</si>
  <si>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</si>
  <si>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</si>
  <si>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</si>
  <si>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</si>
  <si>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</si>
  <si>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</si>
  <si>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</si>
  <si>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</si>
  <si>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</si>
  <si>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</si>
  <si>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</si>
  <si>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</si>
  <si>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</si>
  <si>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</si>
  <si>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</si>
  <si>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</si>
  <si>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</si>
  <si>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</si>
  <si>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</si>
  <si>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</si>
  <si>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</si>
  <si>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</si>
  <si>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</si>
  <si>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</si>
  <si>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</si>
  <si>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</si>
  <si>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</si>
  <si>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</si>
  <si>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</si>
  <si>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</si>
  <si>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</si>
  <si>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</si>
  <si>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</si>
  <si>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</si>
  <si>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</si>
  <si>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</si>
  <si>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</si>
  <si>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</si>
  <si>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</si>
  <si>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</si>
  <si>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</si>
  <si>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</si>
  <si>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</si>
  <si>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</si>
  <si>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</si>
  <si>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</si>
  <si>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</si>
  <si>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</si>
  <si>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</si>
  <si>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</si>
  <si>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</si>
  <si>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</si>
  <si>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</si>
  <si>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</si>
  <si>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</si>
  <si>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</si>
  <si>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</si>
  <si>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</si>
  <si>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</si>
  <si>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</si>
  <si>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</si>
  <si>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</si>
  <si>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</si>
  <si>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</si>
  <si>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</si>
  <si>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</si>
  <si>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</si>
  <si>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</si>
  <si>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</si>
  <si>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</si>
  <si>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</si>
  <si>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</si>
  <si>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</si>
  <si>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</si>
  <si>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</si>
  <si>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</si>
  <si>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</si>
  <si>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</si>
  <si>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</si>
  <si>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</si>
  <si>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</si>
  <si>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</si>
  <si>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</si>
  <si>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</si>
  <si>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</si>
  <si>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</si>
  <si>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</si>
  <si>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</si>
  <si>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</si>
  <si>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</si>
  <si>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</si>
  <si>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</si>
  <si>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</si>
  <si>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</si>
  <si>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</si>
  <si>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</si>
  <si>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</si>
  <si>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</si>
  <si>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</si>
  <si>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</si>
  <si>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</si>
  <si>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</si>
  <si>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</si>
  <si>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</si>
  <si>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</si>
  <si>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</si>
  <si>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</si>
  <si>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</si>
  <si>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</si>
  <si>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</si>
  <si>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</si>
  <si>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</si>
  <si>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</si>
  <si>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</si>
  <si>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</si>
  <si>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</si>
  <si>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</si>
  <si>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</si>
  <si>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</si>
  <si>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</si>
  <si>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</si>
  <si>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</si>
  <si>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</si>
  <si>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</si>
  <si>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</si>
  <si>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</si>
  <si>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</si>
  <si>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</si>
  <si>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</si>
  <si>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</si>
  <si>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</si>
  <si>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</si>
  <si>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</si>
  <si>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</si>
  <si>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</si>
  <si>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</si>
  <si>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</si>
  <si>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</si>
  <si>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</si>
  <si>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</si>
  <si>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</si>
  <si>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</si>
  <si>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</si>
  <si>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</si>
  <si>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</si>
  <si>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</si>
  <si>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</si>
  <si>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</si>
  <si>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</si>
  <si>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</si>
  <si>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</si>
  <si>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</si>
  <si>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</si>
  <si>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</si>
  <si>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</si>
  <si>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</si>
  <si>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</si>
  <si>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</si>
  <si>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</si>
  <si>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</si>
  <si>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</si>
  <si>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</si>
  <si>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</si>
  <si>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</si>
  <si>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</si>
  <si>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</si>
  <si>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</si>
  <si>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</si>
  <si>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</si>
  <si>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</si>
  <si>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</si>
  <si>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</si>
  <si>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</si>
  <si>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</si>
  <si>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</si>
  <si>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</si>
  <si>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</si>
  <si>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</si>
  <si>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</si>
  <si>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</si>
  <si>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</si>
  <si>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</si>
  <si>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</si>
  <si>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</si>
  <si>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</si>
  <si>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</si>
  <si>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</si>
  <si>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</si>
  <si>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</si>
  <si>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</si>
  <si>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</si>
  <si>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</si>
  <si>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</si>
  <si>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</si>
  <si>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</si>
  <si>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</si>
  <si>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</si>
  <si>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</si>
  <si>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</si>
  <si>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</si>
  <si>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</si>
  <si>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</si>
  <si>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</si>
  <si>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</si>
  <si>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</si>
  <si>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</si>
  <si>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</si>
  <si>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</si>
  <si>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</si>
  <si>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</si>
  <si>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</si>
  <si>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</si>
  <si>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</si>
  <si>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</si>
  <si>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</si>
  <si>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</si>
  <si>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</si>
  <si>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</si>
  <si>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</si>
  <si>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</si>
  <si>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</si>
  <si>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</si>
  <si>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</si>
  <si>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</si>
  <si>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</si>
  <si>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</si>
  <si>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</si>
  <si>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</si>
  <si>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</si>
  <si>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</si>
  <si>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</si>
  <si>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</si>
  <si>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</si>
  <si>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</si>
  <si>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</si>
  <si>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</si>
  <si>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</si>
  <si>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</si>
  <si>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</si>
  <si>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</si>
  <si>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</si>
  <si>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</si>
  <si>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</si>
  <si>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</si>
  <si>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</si>
  <si>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</si>
  <si>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</si>
  <si>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</si>
  <si>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</si>
  <si>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</si>
  <si>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</si>
  <si>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</si>
  <si>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</si>
  <si>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</si>
  <si>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</si>
  <si>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</si>
  <si>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</si>
  <si>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</si>
  <si>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</si>
  <si>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</si>
  <si>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</si>
  <si>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</si>
  <si>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</si>
  <si>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</si>
  <si>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</si>
  <si>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</si>
  <si>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</si>
  <si>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</si>
  <si>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</si>
  <si>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</si>
  <si>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</si>
  <si>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</si>
  <si>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</si>
  <si>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</si>
  <si>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</si>
  <si>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</si>
  <si>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</si>
  <si>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</si>
  <si>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</si>
  <si>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</si>
  <si>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</si>
  <si>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</si>
  <si>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</si>
  <si>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</si>
  <si>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</si>
  <si>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</si>
  <si>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</si>
  <si>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</si>
  <si>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</si>
  <si>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</si>
  <si>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</si>
  <si>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</si>
  <si>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</si>
  <si>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</si>
  <si>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</si>
  <si>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</si>
  <si>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</si>
  <si>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</si>
  <si>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</si>
  <si>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</si>
  <si>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</si>
  <si>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</si>
  <si>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</si>
  <si>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</si>
  <si>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</si>
  <si>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</si>
  <si>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</si>
  <si>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</si>
  <si>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</si>
  <si>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</si>
  <si>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</si>
  <si>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</si>
  <si>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</si>
  <si>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</si>
  <si>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</si>
  <si>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</si>
  <si>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</si>
  <si>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</si>
  <si>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</si>
  <si>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</si>
  <si>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</si>
  <si>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</si>
  <si>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</si>
  <si>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</si>
  <si>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</si>
  <si>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</si>
  <si>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</si>
  <si>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</si>
  <si>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</si>
  <si>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</si>
  <si>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</si>
  <si>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</si>
  <si>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</si>
  <si>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</si>
  <si>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</si>
  <si>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</si>
  <si>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</si>
  <si>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</si>
  <si>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</si>
  <si>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</si>
  <si>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</si>
  <si>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</si>
  <si>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</si>
  <si>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</si>
  <si>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</si>
  <si>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</si>
  <si>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</si>
  <si>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</si>
  <si>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</si>
  <si>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</si>
  <si>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</si>
  <si>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</si>
  <si>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</si>
  <si>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</si>
  <si>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</si>
  <si>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</si>
  <si>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</si>
  <si>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</si>
  <si>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</si>
  <si>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</si>
  <si>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</si>
  <si>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</si>
  <si>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</si>
  <si>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</si>
  <si>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</si>
  <si>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</si>
  <si>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</si>
  <si>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</si>
  <si>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</si>
  <si>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</si>
  <si>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</si>
  <si>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</si>
  <si>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</si>
  <si>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</si>
  <si>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</si>
  <si>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</si>
  <si>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</si>
  <si>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</si>
  <si>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</si>
  <si>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</si>
  <si>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</si>
  <si>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</si>
  <si>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</si>
  <si>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</si>
  <si>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</si>
  <si>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</si>
  <si>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</si>
  <si>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</si>
  <si>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</si>
  <si>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</si>
  <si>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</si>
  <si>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</si>
  <si>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</si>
  <si>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</si>
  <si>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</si>
  <si>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</si>
  <si>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</si>
  <si>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</si>
  <si>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</si>
  <si>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</si>
  <si>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</si>
  <si>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</si>
  <si>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</si>
  <si>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</si>
  <si>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</si>
  <si>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</si>
  <si>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</si>
  <si>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</si>
  <si>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</si>
  <si>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</si>
  <si>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</si>
  <si>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</si>
  <si>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</si>
  <si>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</si>
  <si>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</si>
  <si>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</si>
  <si>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</si>
  <si>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</si>
  <si>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</si>
  <si>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</si>
  <si>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</si>
  <si>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</si>
  <si>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</si>
  <si>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</si>
  <si>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</si>
  <si>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</si>
  <si>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</si>
  <si>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</si>
  <si>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</si>
  <si>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</si>
  <si>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</si>
  <si>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</si>
  <si>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</si>
  <si>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</si>
  <si>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</si>
  <si>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</si>
  <si>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</si>
  <si>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</si>
  <si>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</si>
  <si>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</si>
  <si>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</si>
  <si>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</si>
  <si>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</si>
  <si>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</si>
  <si>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</si>
  <si>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</si>
  <si>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</si>
  <si>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</si>
  <si>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</si>
  <si>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</si>
  <si>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</si>
  <si>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</si>
  <si>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</si>
  <si>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</si>
  <si>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</si>
  <si>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</si>
  <si>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</si>
  <si>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</si>
  <si>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</si>
  <si>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</si>
  <si>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</si>
  <si>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</si>
  <si>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</si>
  <si>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</si>
  <si>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</si>
  <si>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</si>
  <si>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</si>
  <si>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</si>
  <si>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</si>
  <si>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</si>
  <si>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</si>
  <si>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</si>
  <si>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</si>
  <si>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</si>
  <si>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</si>
  <si>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</si>
  <si>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</si>
  <si>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</si>
  <si>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</si>
  <si>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</si>
  <si>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</si>
  <si>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</si>
  <si>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</si>
  <si>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</si>
  <si>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</si>
  <si>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</si>
  <si>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</si>
  <si>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</si>
  <si>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</si>
  <si>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</si>
  <si>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</si>
  <si>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</si>
  <si>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</si>
  <si>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</si>
  <si>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</si>
  <si>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</si>
  <si>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</si>
  <si>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</si>
  <si>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</si>
  <si>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</si>
  <si>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</si>
  <si>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</si>
  <si>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</si>
  <si>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</si>
  <si>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</si>
  <si>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</si>
  <si>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</si>
  <si>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</si>
  <si>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</si>
  <si>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</si>
  <si>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</si>
  <si>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</si>
  <si>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</si>
  <si>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</si>
  <si>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</si>
  <si>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</si>
  <si>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</si>
  <si>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</si>
  <si>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</si>
  <si>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</si>
  <si>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</si>
  <si>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</si>
  <si>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</si>
  <si>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</si>
  <si>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</si>
  <si>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</si>
  <si>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</si>
  <si>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</si>
  <si>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</si>
  <si>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</si>
  <si>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</si>
  <si>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</si>
  <si>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</si>
  <si>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</si>
  <si>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</si>
  <si>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</si>
  <si>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</si>
  <si>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</si>
  <si>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</si>
  <si>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</si>
  <si>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</si>
  <si>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</si>
  <si>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</si>
  <si>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</si>
  <si>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</si>
  <si>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</si>
  <si>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</si>
  <si>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</si>
  <si>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</si>
  <si>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</si>
  <si>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</si>
  <si>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</si>
  <si>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</si>
  <si>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</si>
  <si>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</si>
  <si>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</si>
  <si>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</si>
  <si>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</si>
  <si>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</si>
  <si>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</si>
  <si>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</si>
  <si>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</si>
  <si>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</si>
  <si>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</si>
  <si>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</si>
  <si>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</si>
  <si>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</si>
  <si>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</si>
  <si>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</si>
  <si>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</si>
  <si>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</si>
  <si>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</si>
  <si>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</si>
  <si>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</si>
  <si>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</si>
  <si>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</si>
  <si>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</si>
  <si>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</si>
  <si>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</si>
  <si>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</si>
  <si>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</si>
  <si>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</si>
  <si>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</si>
  <si>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</si>
  <si>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</si>
  <si>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</si>
  <si>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</si>
  <si>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</si>
  <si>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</si>
  <si>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</si>
  <si>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</si>
  <si>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</si>
  <si>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</si>
  <si>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</si>
  <si>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</si>
  <si>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</si>
  <si>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</si>
  <si>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</si>
  <si>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</si>
  <si>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</si>
  <si>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</si>
  <si>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</si>
  <si>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</si>
  <si>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</si>
  <si>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</si>
  <si>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</si>
  <si>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</si>
  <si>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</si>
  <si>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</si>
  <si>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</si>
  <si>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</si>
  <si>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</si>
  <si>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</si>
  <si>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</si>
  <si>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</si>
  <si>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</si>
  <si>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</si>
  <si>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</si>
  <si>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</si>
  <si>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</si>
  <si>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</si>
  <si>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</si>
  <si>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</si>
  <si>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</si>
  <si>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</si>
  <si>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</si>
  <si>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</si>
  <si>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</si>
  <si>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</si>
  <si>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</si>
  <si>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</si>
  <si>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</si>
  <si>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</si>
  <si>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</si>
  <si>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</si>
  <si>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</si>
  <si>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</si>
  <si>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</si>
  <si>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</si>
  <si>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</si>
  <si>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</si>
  <si>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</si>
  <si>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</si>
  <si>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</si>
  <si>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</si>
  <si>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</si>
  <si>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</si>
  <si>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</si>
  <si>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</si>
  <si>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</si>
  <si>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</si>
  <si>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</si>
  <si>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</si>
  <si>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</si>
  <si>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</si>
  <si>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</si>
  <si>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</si>
  <si>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</si>
  <si>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</si>
  <si>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</si>
  <si>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</si>
  <si>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</si>
  <si>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</si>
  <si>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</si>
  <si>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</si>
  <si>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</si>
  <si>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</si>
  <si>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</si>
  <si>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</si>
  <si>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</si>
  <si>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</si>
  <si>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</si>
  <si>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</si>
  <si>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</si>
  <si>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</si>
  <si>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</si>
  <si>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</si>
  <si>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</si>
  <si>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</si>
  <si>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</si>
  <si>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</si>
  <si>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</si>
  <si>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</si>
  <si>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</si>
  <si>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</si>
  <si>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</si>
  <si>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</si>
  <si>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</si>
  <si>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</si>
  <si>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</si>
  <si>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</si>
  <si>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</si>
  <si>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</si>
  <si>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</si>
  <si>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</si>
  <si>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</si>
  <si>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</si>
  <si>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</si>
  <si>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</si>
  <si>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</si>
  <si>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</si>
  <si>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</si>
  <si>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</si>
  <si>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</si>
  <si>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</si>
  <si>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</si>
  <si>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</si>
  <si>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</si>
  <si>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</si>
  <si>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</si>
  <si>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</si>
  <si>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</si>
  <si>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</si>
  <si>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</si>
  <si>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</si>
  <si>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</si>
  <si>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</si>
  <si>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</si>
  <si>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</si>
  <si>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</si>
  <si>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</si>
  <si>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</si>
  <si>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</si>
  <si>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</si>
  <si>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</si>
  <si>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</si>
  <si>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</si>
  <si>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</si>
  <si>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</si>
  <si>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</si>
  <si>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</si>
  <si>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</si>
  <si>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</si>
  <si>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</si>
  <si>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</si>
  <si>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</si>
  <si>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</si>
  <si>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</si>
  <si>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</si>
  <si>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</si>
  <si>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</si>
  <si>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</si>
  <si>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</si>
  <si>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</si>
  <si>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</si>
  <si>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</si>
  <si>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</si>
  <si>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</si>
  <si>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</si>
  <si>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</si>
  <si>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</si>
  <si>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</si>
  <si>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</si>
  <si>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</si>
  <si>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</si>
  <si>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</si>
  <si>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</si>
  <si>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</si>
  <si>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</si>
  <si>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</si>
  <si>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</si>
  <si>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</si>
  <si>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</si>
  <si>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</si>
  <si>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</si>
  <si>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</si>
  <si>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</si>
  <si>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</si>
  <si>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</si>
  <si>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</si>
  <si>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</si>
  <si>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</si>
  <si>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</si>
  <si>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</si>
  <si>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</si>
  <si>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</si>
  <si>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</si>
  <si>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</si>
  <si>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</si>
  <si>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</si>
  <si>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</si>
  <si>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</si>
  <si>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</si>
  <si>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</si>
  <si>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</si>
  <si>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</si>
  <si>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</si>
  <si>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</si>
  <si>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</si>
  <si>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</si>
  <si>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</si>
  <si>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</si>
  <si>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</si>
  <si>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</si>
  <si>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</si>
  <si>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</si>
  <si>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</si>
  <si>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</si>
  <si>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</si>
  <si>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</si>
  <si>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</si>
  <si>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</si>
  <si>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</si>
  <si>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</si>
  <si>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</si>
  <si>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</si>
  <si>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</si>
  <si>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</si>
  <si>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</si>
  <si>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</si>
  <si>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</si>
  <si>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</si>
  <si>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</si>
  <si>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</si>
  <si>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</si>
  <si>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</si>
  <si>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</si>
  <si>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</si>
  <si>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</si>
  <si>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</si>
  <si>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</si>
  <si>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</si>
  <si>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</si>
  <si>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</si>
  <si>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</si>
  <si>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</si>
  <si>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</si>
  <si>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</si>
  <si>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</si>
  <si>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</si>
  <si>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</si>
  <si>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</si>
  <si>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</si>
  <si>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</si>
  <si>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</si>
  <si>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</si>
  <si>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</si>
  <si>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</si>
  <si>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</si>
  <si>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</si>
  <si>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</si>
  <si>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</si>
  <si>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</si>
  <si>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</si>
  <si>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</si>
  <si>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</si>
  <si>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</si>
  <si>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</si>
  <si>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</si>
  <si>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</si>
  <si>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</si>
  <si>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</si>
  <si>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</si>
  <si>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</si>
  <si>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</si>
  <si>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</si>
  <si>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</si>
  <si>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</si>
  <si>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</si>
  <si>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</si>
  <si>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</si>
  <si>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</si>
  <si>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</si>
  <si>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</si>
  <si>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</si>
  <si>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</si>
  <si>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</si>
  <si>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</si>
  <si>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</si>
  <si>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</si>
  <si>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</si>
  <si>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</si>
  <si>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</si>
  <si>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</si>
  <si>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</si>
  <si>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</si>
  <si>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</si>
  <si>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</si>
  <si>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</si>
  <si>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</si>
  <si>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</si>
  <si>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</si>
  <si>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</si>
  <si>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</si>
  <si>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</si>
  <si>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</si>
  <si>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</si>
  <si>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</si>
  <si>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</si>
  <si>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</si>
  <si>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</si>
  <si>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</si>
  <si>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</si>
  <si>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</si>
  <si>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</si>
  <si>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</si>
  <si>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</si>
  <si>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</si>
  <si>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</si>
  <si>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</si>
  <si>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</si>
  <si>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</si>
  <si>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</si>
  <si>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</si>
  <si>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</si>
  <si>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</si>
  <si>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</si>
  <si>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</si>
  <si>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</si>
  <si>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</si>
  <si>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</si>
  <si>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</si>
  <si>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</si>
  <si>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</si>
  <si>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</si>
  <si>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</si>
  <si>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</si>
  <si>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</si>
  <si>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</si>
  <si>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</si>
  <si>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</si>
  <si>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</si>
  <si>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</si>
  <si>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</si>
  <si>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</si>
  <si>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</si>
  <si>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</si>
  <si>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</si>
  <si>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</si>
  <si>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</si>
  <si>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</si>
  <si>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</si>
  <si>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</si>
  <si>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</si>
  <si>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</si>
  <si>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</si>
  <si>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</si>
  <si>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</si>
  <si>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</si>
  <si>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</si>
  <si>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</si>
  <si>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</si>
  <si>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</si>
  <si>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</si>
  <si>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</si>
  <si>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</si>
  <si>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</si>
  <si>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</si>
  <si>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</si>
  <si>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</si>
  <si>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</si>
  <si>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</si>
  <si>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</si>
  <si>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</si>
  <si>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</si>
  <si>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</si>
  <si>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</si>
  <si>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</si>
  <si>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</si>
  <si>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</si>
  <si>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</si>
  <si>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</si>
  <si>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</si>
  <si>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</si>
  <si>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</si>
  <si>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</si>
  <si>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</si>
  <si>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</si>
  <si>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</si>
  <si>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</si>
  <si>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</si>
  <si>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</si>
  <si>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</si>
  <si>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</si>
  <si>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</si>
  <si>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</si>
  <si>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</si>
  <si>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</si>
  <si>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</si>
  <si>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</si>
  <si>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</si>
  <si>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</si>
  <si>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</si>
  <si>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</si>
  <si>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</si>
  <si>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</si>
  <si>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</si>
  <si>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</si>
  <si>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</si>
  <si>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</si>
  <si>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</si>
  <si>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</si>
  <si>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</si>
  <si>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</si>
  <si>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</si>
  <si>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</si>
  <si>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</si>
  <si>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</si>
  <si>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</si>
  <si>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</si>
  <si>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</si>
  <si>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</si>
  <si>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</si>
  <si>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</si>
  <si>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</si>
  <si>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</si>
  <si>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</si>
  <si>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</si>
  <si>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</si>
  <si>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</si>
  <si>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</si>
  <si>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</si>
  <si>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</si>
  <si>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</si>
  <si>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</si>
  <si>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</si>
  <si>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</si>
  <si>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</si>
  <si>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</si>
  <si>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</si>
  <si>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</si>
  <si>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</si>
  <si>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</si>
  <si>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</si>
  <si>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</si>
  <si>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</si>
  <si>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</si>
  <si>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</si>
  <si>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</si>
  <si>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</si>
  <si>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</si>
  <si>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</si>
  <si>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</si>
  <si>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</si>
  <si>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</si>
  <si>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</si>
  <si>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</si>
  <si>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</si>
  <si>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</si>
  <si>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</si>
  <si>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</si>
  <si>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</si>
  <si>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</si>
  <si>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</si>
  <si>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</si>
  <si>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</si>
  <si>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</si>
  <si>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</si>
  <si>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</si>
  <si>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</si>
  <si>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</si>
  <si>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</si>
  <si>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</si>
  <si>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</si>
  <si>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</si>
  <si>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</si>
  <si>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</si>
  <si>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</si>
  <si>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</si>
  <si>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</si>
  <si>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</si>
  <si>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</si>
  <si>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</si>
  <si>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</si>
  <si>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</si>
  <si>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</si>
  <si>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</si>
  <si>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</si>
  <si>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</si>
  <si>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</si>
  <si>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</si>
  <si>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</si>
  <si>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</si>
  <si>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</si>
  <si>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</si>
  <si>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</si>
  <si>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</si>
  <si>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</si>
  <si>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</si>
  <si>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</si>
  <si>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</si>
  <si>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</si>
  <si>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</si>
  <si>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</si>
  <si>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</si>
  <si>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</si>
  <si>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</si>
  <si>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</si>
  <si>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</si>
  <si>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</si>
  <si>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</si>
  <si>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</si>
  <si>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</si>
  <si>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</si>
  <si>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</si>
  <si>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</si>
  <si>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</si>
  <si>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</si>
  <si>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</si>
  <si>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</si>
  <si>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</si>
  <si>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</si>
  <si>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</si>
  <si>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</si>
  <si>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</si>
  <si>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</si>
  <si>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</si>
  <si>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</si>
  <si>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</si>
  <si>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</si>
  <si>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</si>
  <si>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</si>
  <si>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</si>
  <si>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</si>
  <si>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</si>
  <si>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</si>
  <si>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</si>
  <si>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</si>
  <si>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</si>
  <si>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</si>
  <si>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</si>
  <si>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</si>
  <si>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</si>
  <si>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</si>
  <si>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</si>
  <si>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</si>
  <si>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</si>
  <si>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</si>
  <si>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</si>
  <si>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</si>
  <si>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</si>
  <si>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</si>
  <si>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</si>
  <si>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</si>
  <si>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</si>
  <si>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</si>
  <si>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</si>
  <si>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</si>
  <si>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</si>
  <si>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</si>
  <si>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</si>
  <si>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</si>
  <si>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</si>
  <si>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</si>
  <si>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</si>
  <si>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</si>
  <si>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</si>
  <si>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</si>
  <si>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</si>
  <si>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</si>
  <si>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</si>
  <si>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</si>
  <si>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</si>
  <si>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</si>
  <si>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</si>
  <si>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</si>
  <si>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</si>
  <si>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</si>
  <si>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</si>
  <si>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</si>
  <si>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</si>
  <si>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</si>
  <si>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</si>
  <si>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</si>
  <si>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</si>
  <si>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</si>
  <si>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</si>
  <si>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</si>
  <si>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</si>
  <si>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</si>
  <si>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</si>
  <si>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</si>
  <si>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</si>
  <si>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</si>
  <si>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</si>
  <si>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</si>
  <si>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</si>
  <si>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</si>
  <si>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</si>
  <si>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</si>
  <si>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</si>
  <si>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</si>
  <si>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</si>
  <si>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</si>
  <si>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</si>
  <si>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</si>
  <si>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</si>
  <si>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</si>
  <si>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</si>
  <si>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</si>
  <si>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</si>
  <si>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</si>
  <si>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</si>
  <si>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</si>
  <si>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</si>
  <si>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</si>
  <si>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</si>
  <si>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</si>
  <si>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</si>
  <si>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</si>
  <si>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</si>
  <si>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</si>
  <si>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</si>
  <si>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</si>
  <si>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</si>
  <si>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</si>
  <si>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</si>
  <si>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</si>
  <si>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</si>
  <si>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</si>
  <si>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</si>
  <si>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</si>
  <si>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</si>
  <si>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</si>
  <si>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</si>
  <si>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</si>
  <si>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</si>
  <si>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</si>
  <si>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</si>
  <si>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</si>
  <si>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</si>
  <si>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</si>
  <si>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</si>
  <si>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</si>
  <si>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</si>
  <si>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</si>
  <si>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</si>
  <si>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</si>
  <si>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</si>
  <si>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</si>
  <si>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</si>
  <si>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</si>
  <si>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</si>
  <si>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</si>
  <si>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</si>
  <si>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</si>
  <si>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</si>
  <si>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</si>
  <si>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</si>
  <si>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</si>
  <si>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</si>
  <si>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</si>
  <si>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</si>
  <si>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</si>
  <si>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</si>
  <si>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</si>
  <si>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</si>
  <si>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</si>
  <si>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</si>
  <si>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</si>
  <si>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</si>
  <si>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</si>
  <si>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</si>
  <si>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</si>
  <si>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</si>
  <si>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</si>
  <si>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</si>
  <si>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</si>
  <si>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</si>
  <si>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</si>
  <si>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</si>
  <si>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</si>
  <si>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</si>
  <si>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</si>
  <si>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</si>
  <si>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</si>
  <si>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</si>
  <si>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</si>
  <si>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</si>
  <si>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</si>
  <si>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</si>
  <si>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</si>
  <si>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</si>
  <si>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</si>
  <si>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</si>
  <si>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</si>
  <si>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</si>
  <si>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</si>
  <si>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</si>
  <si>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</si>
  <si>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</si>
  <si>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</si>
  <si>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</si>
  <si>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</si>
  <si>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</si>
  <si>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</si>
  <si>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</si>
  <si>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</si>
  <si>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</si>
  <si>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</si>
  <si>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</si>
  <si>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</si>
  <si>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</si>
  <si>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</si>
  <si>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</si>
  <si>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</si>
  <si>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</si>
  <si>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</si>
  <si>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</si>
  <si>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</si>
  <si>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</si>
  <si>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</si>
  <si>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</si>
  <si>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</si>
  <si>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</si>
  <si>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</si>
  <si>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</si>
  <si>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</si>
  <si>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</si>
  <si>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</si>
  <si>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</si>
  <si>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</si>
  <si>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</si>
  <si>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</si>
  <si>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</si>
  <si>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</si>
  <si>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</si>
  <si>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</si>
  <si>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</si>
  <si>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</si>
  <si>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</si>
  <si>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</si>
  <si>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</si>
  <si>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</si>
  <si>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</si>
  <si>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</si>
  <si>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</si>
  <si>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</si>
  <si>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</si>
  <si>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</si>
  <si>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</si>
  <si>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</si>
  <si>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</si>
  <si>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</si>
  <si>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</si>
  <si>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</si>
  <si>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</si>
  <si>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</si>
  <si>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</si>
  <si>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</si>
  <si>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</si>
  <si>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</si>
  <si>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</si>
  <si>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</si>
  <si>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</si>
  <si>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</si>
  <si>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</si>
  <si>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</si>
  <si>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</si>
  <si>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</si>
  <si>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</si>
  <si>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</si>
  <si>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</si>
  <si>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</si>
  <si>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</si>
  <si>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</si>
  <si>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</si>
  <si>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</si>
  <si>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</si>
  <si>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</si>
  <si>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</si>
  <si>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</si>
  <si>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</si>
  <si>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</si>
  <si>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</si>
  <si>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</si>
  <si>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</si>
  <si>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</si>
  <si>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</si>
  <si>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</si>
  <si>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</si>
  <si>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</si>
  <si>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</si>
  <si>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</si>
  <si>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</si>
  <si>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</si>
  <si>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</si>
  <si>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</si>
  <si>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</si>
  <si>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</si>
  <si>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</si>
  <si>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</si>
  <si>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</si>
  <si>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</si>
  <si>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</si>
  <si>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</si>
  <si>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</si>
  <si>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</si>
  <si>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</si>
  <si>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</si>
  <si>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</si>
  <si>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</si>
  <si>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</si>
  <si>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</si>
  <si>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</si>
  <si>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</si>
  <si>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</si>
  <si>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</si>
  <si>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</si>
  <si>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</si>
  <si>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</si>
  <si>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</si>
  <si>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</si>
  <si>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</si>
  <si>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</si>
  <si>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</si>
  <si>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</si>
  <si>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</si>
  <si>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</si>
  <si>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</si>
  <si>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</si>
  <si>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</si>
  <si>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</si>
  <si>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</si>
  <si>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</si>
  <si>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</si>
  <si>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</si>
  <si>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</si>
  <si>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</si>
  <si>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</si>
  <si>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</si>
  <si>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</si>
  <si>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</si>
  <si>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</si>
  <si>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</si>
  <si>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</si>
  <si>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</si>
  <si>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</si>
  <si>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</si>
  <si>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</si>
  <si>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</si>
  <si>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</si>
  <si>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</si>
  <si>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</si>
  <si>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</si>
  <si>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</si>
  <si>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</si>
  <si>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</si>
  <si>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</si>
  <si>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</si>
  <si>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</si>
  <si>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</si>
  <si>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</si>
  <si>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</si>
  <si>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</si>
  <si>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</si>
  <si>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</si>
  <si>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</si>
  <si>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</si>
  <si>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</si>
  <si>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</si>
  <si>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</si>
  <si>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</si>
  <si>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</si>
  <si>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</si>
  <si>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</si>
  <si>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</si>
  <si>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</si>
  <si>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</si>
  <si>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</si>
  <si>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</si>
  <si>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</si>
  <si>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</si>
  <si>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</si>
  <si>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</si>
  <si>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</si>
  <si>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</si>
  <si>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</si>
  <si>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</si>
  <si>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</si>
  <si>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</si>
  <si>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</si>
  <si>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</si>
  <si>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</si>
  <si>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</si>
  <si>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</si>
  <si>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</si>
  <si>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</si>
  <si>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</si>
  <si>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</si>
  <si>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</si>
  <si>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</si>
  <si>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</si>
  <si>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</si>
  <si>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</si>
  <si>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</si>
  <si>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</si>
  <si>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</si>
  <si>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</si>
  <si>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</si>
  <si>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</si>
  <si>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</si>
  <si>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</si>
  <si>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</si>
  <si>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</si>
  <si>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</si>
  <si>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</si>
  <si>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</si>
  <si>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</si>
  <si>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</si>
  <si>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</si>
  <si>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</si>
  <si>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</si>
  <si>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</si>
  <si>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</si>
  <si>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</si>
  <si>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</si>
  <si>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</si>
  <si>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</si>
  <si>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</si>
  <si>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</si>
  <si>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</si>
  <si>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</si>
  <si>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</si>
  <si>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</si>
  <si>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</si>
  <si>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</si>
  <si>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</si>
  <si>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</si>
  <si>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</si>
  <si>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</si>
  <si>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</si>
  <si>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</si>
  <si>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</si>
  <si>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</si>
  <si>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</si>
  <si>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</si>
  <si>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</si>
  <si>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</si>
  <si>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</si>
  <si>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</si>
  <si>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</si>
  <si>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</si>
  <si>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</si>
  <si>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</si>
  <si>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</si>
  <si>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</si>
  <si>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</si>
  <si>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</si>
  <si>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</si>
  <si>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</si>
  <si>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</si>
  <si>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</si>
  <si>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</si>
  <si>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</si>
  <si>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</si>
  <si>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</si>
  <si>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</si>
  <si>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</si>
  <si>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</si>
  <si>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</si>
  <si>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</si>
  <si>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</si>
  <si>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</si>
  <si>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</si>
  <si>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</si>
  <si>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</si>
  <si>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</si>
  <si>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</si>
  <si>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</si>
  <si>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</si>
  <si>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</si>
  <si>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</si>
  <si>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</si>
  <si>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</si>
  <si>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</si>
  <si>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</si>
  <si>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</si>
  <si>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</si>
  <si>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</si>
  <si>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</si>
  <si>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</si>
  <si>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</si>
  <si>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</si>
  <si>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</si>
  <si>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</si>
  <si>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</si>
  <si>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</si>
  <si>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</si>
  <si>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</si>
  <si>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</si>
  <si>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</si>
  <si>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</si>
  <si>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</si>
  <si>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</si>
  <si>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</si>
  <si>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</si>
  <si>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</si>
  <si>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</si>
  <si>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</si>
  <si>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</si>
  <si>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</si>
  <si>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</si>
  <si>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</si>
  <si>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</si>
  <si>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</si>
  <si>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</si>
  <si>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</si>
  <si>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</si>
  <si>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</si>
  <si>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</si>
  <si>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</si>
  <si>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</si>
  <si>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</si>
  <si>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</si>
  <si>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</si>
  <si>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</si>
  <si>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</si>
  <si>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</si>
  <si>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</si>
  <si>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</si>
  <si>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</si>
  <si>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</si>
  <si>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</si>
  <si>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</si>
  <si>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</si>
  <si>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</si>
  <si>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</si>
  <si>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</si>
  <si>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</si>
  <si>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</si>
  <si>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</si>
  <si>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</si>
  <si>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</si>
  <si>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</si>
  <si>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</si>
  <si>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</si>
  <si>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</si>
  <si>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</si>
  <si>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</si>
  <si>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</si>
  <si>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</si>
  <si>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</si>
  <si>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</si>
  <si>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</si>
  <si>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</si>
  <si>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</si>
  <si>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</si>
  <si>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</si>
  <si>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</si>
  <si>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</si>
  <si>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</si>
  <si>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</si>
  <si>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</si>
  <si>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</si>
  <si>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</si>
  <si>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</si>
  <si>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</si>
  <si>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</si>
  <si>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</si>
  <si>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</si>
  <si>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</si>
  <si>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</si>
  <si>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</si>
  <si>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</si>
  <si>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</si>
  <si>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</si>
  <si>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</si>
  <si>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</si>
  <si>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</si>
  <si>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</si>
  <si>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</si>
  <si>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</si>
  <si>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</si>
  <si>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</si>
  <si>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</si>
  <si>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</si>
  <si>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</si>
  <si>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</si>
  <si>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</si>
  <si>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</si>
  <si>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</si>
  <si>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</si>
  <si>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</si>
  <si>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</si>
  <si>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</si>
  <si>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</si>
  <si>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</si>
  <si>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</si>
  <si>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</si>
  <si>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</si>
  <si>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</si>
  <si>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</si>
  <si>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</si>
  <si>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</si>
  <si>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</si>
  <si>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</si>
  <si>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</si>
  <si>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</si>
  <si>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</si>
  <si>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</si>
  <si>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</si>
  <si>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</si>
  <si>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</si>
  <si>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</si>
  <si>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</si>
  <si>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</si>
  <si>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</si>
  <si>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</si>
  <si>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</si>
  <si>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</si>
  <si>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</si>
  <si>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</si>
  <si>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</si>
  <si>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</si>
  <si>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</si>
  <si>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</si>
  <si>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</si>
  <si>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</si>
  <si>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</si>
  <si>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</si>
  <si>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</si>
  <si>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</si>
  <si>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</si>
  <si>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</si>
  <si>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</si>
  <si>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</si>
  <si>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</si>
  <si>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</si>
  <si>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</si>
  <si>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</si>
  <si>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</si>
  <si>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</si>
  <si>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</si>
  <si>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</si>
  <si>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</si>
  <si>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</si>
  <si>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</si>
  <si>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</si>
  <si>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</si>
  <si>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</si>
  <si>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</si>
  <si>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</si>
  <si>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</si>
  <si>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</si>
  <si>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</si>
  <si>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</si>
  <si>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</si>
  <si>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</si>
  <si>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</si>
  <si>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</si>
  <si>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</si>
  <si>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</si>
  <si>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</si>
  <si>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</si>
  <si>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</si>
  <si>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</si>
  <si>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</si>
  <si>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</si>
  <si>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</si>
  <si>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</si>
  <si>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</si>
  <si>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</si>
  <si>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</si>
  <si>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</si>
  <si>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</si>
  <si>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</si>
  <si>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</si>
  <si>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</si>
  <si>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</si>
  <si>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</si>
  <si>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</si>
  <si>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</si>
  <si>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</si>
  <si>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</si>
  <si>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</si>
  <si>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</si>
  <si>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</si>
  <si>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</si>
  <si>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</si>
  <si>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</si>
  <si>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</si>
  <si>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</si>
  <si>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</si>
  <si>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</si>
  <si>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</si>
  <si>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</si>
  <si>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</si>
  <si>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</si>
  <si>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</si>
  <si>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</si>
  <si>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</si>
  <si>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</si>
  <si>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</si>
  <si>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</si>
  <si>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</si>
  <si>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</si>
  <si>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</si>
  <si>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</si>
  <si>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</si>
  <si>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</si>
  <si>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</si>
  <si>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</si>
  <si>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</si>
  <si>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</si>
  <si>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</si>
  <si>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</si>
  <si>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</si>
  <si>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</si>
  <si>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</si>
  <si>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</si>
  <si>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</si>
  <si>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</si>
  <si>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</si>
  <si>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</si>
  <si>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</si>
  <si>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</si>
  <si>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</si>
  <si>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</si>
  <si>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</si>
  <si>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</si>
  <si>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</si>
  <si>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</si>
  <si>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</si>
  <si>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</si>
  <si>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</si>
  <si>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</si>
  <si>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</si>
  <si>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</si>
  <si>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</si>
  <si>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</si>
  <si>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</si>
  <si>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</si>
  <si>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</si>
  <si>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</si>
  <si>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</si>
  <si>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</si>
  <si>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</si>
  <si>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</si>
  <si>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</si>
  <si>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</si>
  <si>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</si>
  <si>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</si>
  <si>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</si>
  <si>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</si>
  <si>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</si>
  <si>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</si>
  <si>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</si>
  <si>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</si>
  <si>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</si>
  <si>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</si>
  <si>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</si>
  <si>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</si>
  <si>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</si>
  <si>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</si>
  <si>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</si>
  <si>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</si>
  <si>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</si>
  <si>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</si>
  <si>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</si>
  <si>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</si>
  <si>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</si>
  <si>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</si>
  <si>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</si>
  <si>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</si>
  <si>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</si>
  <si>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</si>
  <si>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</si>
  <si>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</si>
  <si>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</si>
  <si>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</si>
  <si>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</si>
  <si>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</si>
  <si>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</si>
  <si>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</si>
  <si>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</si>
  <si>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</si>
  <si>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</si>
  <si>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</si>
  <si>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</si>
  <si>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</si>
  <si>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</si>
  <si>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</si>
  <si>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</si>
  <si>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</si>
  <si>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</si>
  <si>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</si>
  <si>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</si>
  <si>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</si>
  <si>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</si>
  <si>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</si>
  <si>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</si>
  <si>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</si>
  <si>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</si>
  <si>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</si>
  <si>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</si>
  <si>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</si>
  <si>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</si>
  <si>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</si>
  <si>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</si>
  <si>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</si>
  <si>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</si>
  <si>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</si>
  <si>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</si>
  <si>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</si>
  <si>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</si>
  <si>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</si>
  <si>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</si>
  <si>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</si>
  <si>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</si>
  <si>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</si>
  <si>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</si>
  <si>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</si>
  <si>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</si>
  <si>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</si>
  <si>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</si>
  <si>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</si>
  <si>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</si>
  <si>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</si>
  <si>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</si>
  <si>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</si>
  <si>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</si>
  <si>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</si>
  <si>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</si>
  <si>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</si>
  <si>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</si>
  <si>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</si>
  <si>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</si>
  <si>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</si>
  <si>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</si>
  <si>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</si>
  <si>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</si>
  <si>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</si>
  <si>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</si>
  <si>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</si>
  <si>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</si>
  <si>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</si>
  <si>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</si>
  <si>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</si>
  <si>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</si>
  <si>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</si>
  <si>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</si>
  <si>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</si>
  <si>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</si>
  <si>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</si>
  <si>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</si>
  <si>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</si>
  <si>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</si>
  <si>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</si>
  <si>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</si>
  <si>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</si>
  <si>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</si>
  <si>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</si>
  <si>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</si>
  <si>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</si>
  <si>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</si>
  <si>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</si>
  <si>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</si>
  <si>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</si>
  <si>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</si>
  <si>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</si>
  <si>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</si>
  <si>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</si>
  <si>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</si>
  <si>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</si>
  <si>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</si>
  <si>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</si>
  <si>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</si>
  <si>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</si>
  <si>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</si>
  <si>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</si>
  <si>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</si>
  <si>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</si>
  <si>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</si>
  <si>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</si>
  <si>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</si>
  <si>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</si>
  <si>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</si>
  <si>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</si>
  <si>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</si>
  <si>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</si>
  <si>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</si>
  <si>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</si>
  <si>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</si>
  <si>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</si>
  <si>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</si>
  <si>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</si>
  <si>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</si>
  <si>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</si>
  <si>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</si>
  <si>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</si>
  <si>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</si>
  <si>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</si>
  <si>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</si>
  <si>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</si>
  <si>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</si>
  <si>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</si>
  <si>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</si>
  <si>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</si>
  <si>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</si>
  <si>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</si>
  <si>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</si>
  <si>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</si>
  <si>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</si>
  <si>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</si>
  <si>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</si>
  <si>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</si>
  <si>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</si>
  <si>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</si>
  <si>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</si>
  <si>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</si>
  <si>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</si>
  <si>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</si>
  <si>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</si>
  <si>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</si>
  <si>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</si>
  <si>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</si>
  <si>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</si>
  <si>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</si>
  <si>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</si>
  <si>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</si>
  <si>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</si>
  <si>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</si>
  <si>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</si>
  <si>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</si>
  <si>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</si>
  <si>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</si>
  <si>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</si>
  <si>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</si>
  <si>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</si>
  <si>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</si>
  <si>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</si>
  <si>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</si>
  <si>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</si>
  <si>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</si>
  <si>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</si>
  <si>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</si>
  <si>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</si>
  <si>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</si>
  <si>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</si>
  <si>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</si>
  <si>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</si>
  <si>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</si>
  <si>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</si>
  <si>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</si>
  <si>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</si>
  <si>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</si>
  <si>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</si>
  <si>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</si>
  <si>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</si>
  <si>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</si>
  <si>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</si>
  <si>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</si>
  <si>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</si>
  <si>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</si>
  <si>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</si>
  <si>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</si>
  <si>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</si>
  <si>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</si>
  <si>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</si>
  <si>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</si>
  <si>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</si>
  <si>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</si>
  <si>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</si>
  <si>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</si>
  <si>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</si>
  <si>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</si>
  <si>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</si>
  <si>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</si>
  <si>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</si>
  <si>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</si>
  <si>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</si>
  <si>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</si>
  <si>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</si>
  <si>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</si>
  <si>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</si>
  <si>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</si>
  <si>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</si>
  <si>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</si>
  <si>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</si>
  <si>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</si>
  <si>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</si>
  <si>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</si>
  <si>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</si>
  <si>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</si>
  <si>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</si>
  <si>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</si>
  <si>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</si>
  <si>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</si>
  <si>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</si>
  <si>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</si>
  <si>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</si>
  <si>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</si>
  <si>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</si>
  <si>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</si>
  <si>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</si>
  <si>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</si>
  <si>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</si>
  <si>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</si>
  <si>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</si>
  <si>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</si>
  <si>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</si>
  <si>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</si>
  <si>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</si>
  <si>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</si>
  <si>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</si>
  <si>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</si>
  <si>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</si>
  <si>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</si>
  <si>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</si>
  <si>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</si>
  <si>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</si>
  <si>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</si>
  <si>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</si>
  <si>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</si>
  <si>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</si>
  <si>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</si>
  <si>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</si>
  <si>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</si>
  <si>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</si>
  <si>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</si>
  <si>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</si>
  <si>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</si>
  <si>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</si>
  <si>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</si>
  <si>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</si>
  <si>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</si>
  <si>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</si>
  <si>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</si>
  <si>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</si>
  <si>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</si>
  <si>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</si>
  <si>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</si>
  <si>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</si>
  <si>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</si>
  <si>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</si>
  <si>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</si>
  <si>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</si>
  <si>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</si>
  <si>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</si>
  <si>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</si>
  <si>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</si>
  <si>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</si>
  <si>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</si>
  <si>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</si>
  <si>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</si>
  <si>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</si>
  <si>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</si>
  <si>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</si>
  <si>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</si>
  <si>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</si>
  <si>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</si>
  <si>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</si>
  <si>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</si>
  <si>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</si>
  <si>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</si>
  <si>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</si>
  <si>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</si>
  <si>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</si>
  <si>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</si>
  <si>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</si>
  <si>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</si>
  <si>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</si>
  <si>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</si>
  <si>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</si>
  <si>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</si>
  <si>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</si>
  <si>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</si>
  <si>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</si>
  <si>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</si>
  <si>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</si>
  <si>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</si>
  <si>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</si>
  <si>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</si>
  <si>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</si>
  <si>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</si>
  <si>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</si>
  <si>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</si>
  <si>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</si>
  <si>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</si>
  <si>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</si>
  <si>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</si>
  <si>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</si>
  <si>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</si>
  <si>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</si>
  <si>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</si>
  <si>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</si>
  <si>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</si>
  <si>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</si>
  <si>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</si>
  <si>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</si>
  <si>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</si>
  <si>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</si>
  <si>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</si>
  <si>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</si>
  <si>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</si>
  <si>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</si>
  <si>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</si>
  <si>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</si>
  <si>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</si>
  <si>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</si>
  <si>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</si>
  <si>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</si>
  <si>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</si>
  <si>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</si>
  <si>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</si>
  <si>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</si>
  <si>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</si>
  <si>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</si>
  <si>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</si>
  <si>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</si>
  <si>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</si>
  <si>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</si>
  <si>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</si>
  <si>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</si>
  <si>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</si>
  <si>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</si>
  <si>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</si>
  <si>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</si>
  <si>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</si>
  <si>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</si>
  <si>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</si>
  <si>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</si>
  <si>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</si>
  <si>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</si>
  <si>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</si>
  <si>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</si>
  <si>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</si>
  <si>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</si>
  <si>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</si>
  <si>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</si>
  <si>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</si>
  <si>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</si>
  <si>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</si>
  <si>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</si>
  <si>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</si>
  <si>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</si>
  <si>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</si>
  <si>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</si>
  <si>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</si>
  <si>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</si>
  <si>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</si>
  <si>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</si>
  <si>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</si>
  <si>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</si>
  <si>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</si>
  <si>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</si>
  <si>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</si>
  <si>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</si>
  <si>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</si>
  <si>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</si>
  <si>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</si>
  <si>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</si>
  <si>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</si>
  <si>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</si>
  <si>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</si>
  <si>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</si>
  <si>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</si>
  <si>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</si>
  <si>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</si>
  <si>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</si>
  <si>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</si>
  <si>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</si>
  <si>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</si>
  <si>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</si>
  <si>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</si>
  <si>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</si>
  <si>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</si>
  <si>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</si>
  <si>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</si>
  <si>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</si>
  <si>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</si>
  <si>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</si>
  <si>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</si>
  <si>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</si>
  <si>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</si>
  <si>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</si>
  <si>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</si>
  <si>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</si>
  <si>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</si>
  <si>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</si>
  <si>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</si>
  <si>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</si>
  <si>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</si>
  <si>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</si>
  <si>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</si>
  <si>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</si>
  <si>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</si>
  <si>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</si>
  <si>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</si>
  <si>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</si>
  <si>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</si>
  <si>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</si>
  <si>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</si>
  <si>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</si>
  <si>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</si>
  <si>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</si>
  <si>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</si>
  <si>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</si>
  <si>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</si>
  <si>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</si>
  <si>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</si>
  <si>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</si>
  <si>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</si>
  <si>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</si>
  <si>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</si>
  <si>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</si>
  <si>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</si>
  <si>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</si>
  <si>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</si>
  <si>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</si>
  <si>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</si>
  <si>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</si>
  <si>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</si>
  <si>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</si>
  <si>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</si>
  <si>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</si>
  <si>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</si>
  <si>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</si>
  <si>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</si>
  <si>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</si>
  <si>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</si>
  <si>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</si>
  <si>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</si>
  <si>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</si>
  <si>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</si>
  <si>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</si>
  <si>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</si>
  <si>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</si>
  <si>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</si>
  <si>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</si>
  <si>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</si>
  <si>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</si>
  <si>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</si>
  <si>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</si>
  <si>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</si>
  <si>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</si>
  <si>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</si>
  <si>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</si>
  <si>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</si>
  <si>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</si>
  <si>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</si>
  <si>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</si>
  <si>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</si>
  <si>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</si>
  <si>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</si>
  <si>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</si>
  <si>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</si>
  <si>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</si>
  <si>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</si>
  <si>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</si>
  <si>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</si>
  <si>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</si>
  <si>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</si>
  <si>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</si>
  <si>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</si>
  <si>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</si>
  <si>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</si>
  <si>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</si>
  <si>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</si>
  <si>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</si>
  <si>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</si>
  <si>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</si>
  <si>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</si>
  <si>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</si>
  <si>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</si>
  <si>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</si>
  <si>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</si>
  <si>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</si>
  <si>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</si>
  <si>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</si>
  <si>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</si>
  <si>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</si>
  <si>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</si>
  <si>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</si>
  <si>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</si>
  <si>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</si>
  <si>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</si>
  <si>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</si>
  <si>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</si>
  <si>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</si>
  <si>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</si>
  <si>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</si>
  <si>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</si>
  <si>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</si>
  <si>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</si>
  <si>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</si>
  <si>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</si>
  <si>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</si>
  <si>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</si>
  <si>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</si>
  <si>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</si>
  <si>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</si>
  <si>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</si>
  <si>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</si>
  <si>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</si>
  <si>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</si>
  <si>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</si>
  <si>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</si>
  <si>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</si>
  <si>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</si>
  <si>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</si>
  <si>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</si>
  <si>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</si>
  <si>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</si>
  <si>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</si>
  <si>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</si>
  <si>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</si>
  <si>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</si>
  <si>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</si>
  <si>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</si>
  <si>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</si>
  <si>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</si>
  <si>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</si>
  <si>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</si>
  <si>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</si>
  <si>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</si>
  <si>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</si>
  <si>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</si>
  <si>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</si>
  <si>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</si>
  <si>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</si>
  <si>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</si>
  <si>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</si>
  <si>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</si>
  <si>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</si>
  <si>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</si>
  <si>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</si>
  <si>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</si>
  <si>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</si>
  <si>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</si>
  <si>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</si>
  <si>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</si>
  <si>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</si>
  <si>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</si>
  <si>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</si>
  <si>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</si>
  <si>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</si>
  <si>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</si>
  <si>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</si>
  <si>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</si>
  <si>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</si>
  <si>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</si>
  <si>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</si>
  <si>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</si>
  <si>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</si>
  <si>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</si>
  <si>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</si>
  <si>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</si>
  <si>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</si>
  <si>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</si>
  <si>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</si>
  <si>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</si>
  <si>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</si>
  <si>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</si>
  <si>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</si>
  <si>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</si>
  <si>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</si>
  <si>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</si>
  <si>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</si>
  <si>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</si>
  <si>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</si>
  <si>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</si>
  <si>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</si>
  <si>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</si>
  <si>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</si>
  <si>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</si>
  <si>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</si>
  <si>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</si>
  <si>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</si>
  <si>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</si>
  <si>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</si>
  <si>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</si>
  <si>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</si>
  <si>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</si>
  <si>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</si>
  <si>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</si>
  <si>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</si>
  <si>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</si>
  <si>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</si>
  <si>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</si>
  <si>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</si>
  <si>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</si>
  <si>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</si>
  <si>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</si>
  <si>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</si>
  <si>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</si>
  <si>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</si>
  <si>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</si>
  <si>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</si>
  <si>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</si>
  <si>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</si>
  <si>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</si>
  <si>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</si>
  <si>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</si>
  <si>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</si>
  <si>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</si>
  <si>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</si>
  <si>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</si>
  <si>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</si>
  <si>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</si>
  <si>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</si>
  <si>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</si>
  <si>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</si>
  <si>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</si>
  <si>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</si>
  <si>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</si>
  <si>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</si>
  <si>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</si>
  <si>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</si>
  <si>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</si>
  <si>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</si>
  <si>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</si>
  <si>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</si>
  <si>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</si>
  <si>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</si>
  <si>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</si>
  <si>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</si>
  <si>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</si>
  <si>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</si>
  <si>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</si>
  <si>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</si>
  <si>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</si>
  <si>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</si>
  <si>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</si>
  <si>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</si>
  <si>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</si>
  <si>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</si>
  <si>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</si>
  <si>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</si>
  <si>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</si>
  <si>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</si>
  <si>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</si>
  <si>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</si>
  <si>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</si>
  <si>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</si>
  <si>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</si>
  <si>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</si>
  <si>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</si>
  <si>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</si>
  <si>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</si>
  <si>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</si>
  <si>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</si>
  <si>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</si>
  <si>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</si>
  <si>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</si>
  <si>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</si>
  <si>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</si>
  <si>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</si>
  <si>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</si>
  <si>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</si>
  <si>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</si>
  <si>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</si>
  <si>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</si>
  <si>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</si>
  <si>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</si>
  <si>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</si>
  <si>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</si>
  <si>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</si>
  <si>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</si>
  <si>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</si>
  <si>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</si>
  <si>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</si>
  <si>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</si>
  <si>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</si>
  <si>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</si>
  <si>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</si>
  <si>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</si>
  <si>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</si>
  <si>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</si>
  <si>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</si>
  <si>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</si>
  <si>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</si>
  <si>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</si>
  <si>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</si>
  <si>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</si>
  <si>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</si>
  <si>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</si>
  <si>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</si>
  <si>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</si>
  <si>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</si>
  <si>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</si>
  <si>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</si>
  <si>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</si>
  <si>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</si>
  <si>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</si>
  <si>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</si>
  <si>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</si>
  <si>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</si>
  <si>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</si>
  <si>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</si>
  <si>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</si>
  <si>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</si>
  <si>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</si>
  <si>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</si>
  <si>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</si>
  <si>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</si>
  <si>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</si>
  <si>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</si>
  <si>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</si>
  <si>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</si>
  <si>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</si>
  <si>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</si>
  <si>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</si>
  <si>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</si>
  <si>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</si>
  <si>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</si>
  <si>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</si>
  <si>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</si>
  <si>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</si>
  <si>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</si>
  <si>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</si>
  <si>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</si>
  <si>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</si>
  <si>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</si>
  <si>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</si>
  <si>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</si>
  <si>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</si>
  <si>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</si>
  <si>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</si>
  <si>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</si>
  <si>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</si>
  <si>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</si>
  <si>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</si>
  <si>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</si>
  <si>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</si>
  <si>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</si>
  <si>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</si>
  <si>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</si>
  <si>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</si>
  <si>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</si>
  <si>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</si>
  <si>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</si>
  <si>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</si>
  <si>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</si>
  <si>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</si>
  <si>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</si>
  <si>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</si>
  <si>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</si>
  <si>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</si>
  <si>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</si>
  <si>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</si>
  <si>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</si>
  <si>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</si>
  <si>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</si>
  <si>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</si>
  <si>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</si>
  <si>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</si>
  <si>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</si>
  <si>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</si>
  <si>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</si>
  <si>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</si>
  <si>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</si>
  <si>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</si>
  <si>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</si>
  <si>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</si>
  <si>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</si>
  <si>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</si>
  <si>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</si>
  <si>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</si>
  <si>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</si>
  <si>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</si>
  <si>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</si>
  <si>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</si>
  <si>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</si>
  <si>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</si>
  <si>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</si>
  <si>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</si>
  <si>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</si>
  <si>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</si>
  <si>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</si>
  <si>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</si>
  <si>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</si>
  <si>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</si>
  <si>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</si>
  <si>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</si>
  <si>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</si>
  <si>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</si>
  <si>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</si>
  <si>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</si>
  <si>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</si>
  <si>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</si>
  <si>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</si>
  <si>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</si>
  <si>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</si>
  <si>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</si>
  <si>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</si>
  <si>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</si>
  <si>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</si>
  <si>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</si>
  <si>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</si>
  <si>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</si>
  <si>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</si>
  <si>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</si>
  <si>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</si>
  <si>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</si>
  <si>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</si>
  <si>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</si>
  <si>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</si>
  <si>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</si>
  <si>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</si>
  <si>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</si>
  <si>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</si>
  <si>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</si>
  <si>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</si>
  <si>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</si>
  <si>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</si>
  <si>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</si>
  <si>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</si>
  <si>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</si>
  <si>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</si>
  <si>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</si>
  <si>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</si>
  <si>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</si>
  <si>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</si>
  <si>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</si>
  <si>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</si>
  <si>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</si>
  <si>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</si>
  <si>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</si>
  <si>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</si>
  <si>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</si>
  <si>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</si>
  <si>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</si>
  <si>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</si>
  <si>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</si>
  <si>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</si>
  <si>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</si>
  <si>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</si>
  <si>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</si>
  <si>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</si>
  <si>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</si>
  <si>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</si>
  <si>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</si>
  <si>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</si>
  <si>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</si>
  <si>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</si>
  <si>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</si>
  <si>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</si>
  <si>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</si>
  <si>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</si>
  <si>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</si>
  <si>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</si>
  <si>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</si>
  <si>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</si>
  <si>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</si>
  <si>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</si>
  <si>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</si>
  <si>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</si>
  <si>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</si>
  <si>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</si>
  <si>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</si>
  <si>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</si>
  <si>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</si>
  <si>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</si>
  <si>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</si>
  <si>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</si>
  <si>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</si>
  <si>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</si>
  <si>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</si>
  <si>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</si>
  <si>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</si>
  <si>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</si>
  <si>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</si>
  <si>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</si>
  <si>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</si>
  <si>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</si>
  <si>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</si>
  <si>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</si>
  <si>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</si>
  <si>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</si>
  <si>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</si>
  <si>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</si>
  <si>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</si>
  <si>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</si>
  <si>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</si>
  <si>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</si>
  <si>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</si>
  <si>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</si>
  <si>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</si>
  <si>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</si>
  <si>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</si>
  <si>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</si>
  <si>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</si>
  <si>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</si>
  <si>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</si>
  <si>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</si>
  <si>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</si>
  <si>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</si>
  <si>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</si>
  <si>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</si>
  <si>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</si>
  <si>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</si>
  <si>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</si>
  <si>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</si>
  <si>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</si>
  <si>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</si>
  <si>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</si>
  <si>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</si>
  <si>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</si>
  <si>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</si>
  <si>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</si>
  <si>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</si>
  <si>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</si>
  <si>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</si>
  <si>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</si>
  <si>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</si>
  <si>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</si>
  <si>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</si>
  <si>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</si>
  <si>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</si>
  <si>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</si>
  <si>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</si>
  <si>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</si>
  <si>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</si>
  <si>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</si>
  <si>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</si>
  <si>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</si>
  <si>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</si>
  <si>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</si>
  <si>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</si>
  <si>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</si>
  <si>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</si>
  <si>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</si>
  <si>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</si>
  <si>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</si>
  <si>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</si>
  <si>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</si>
  <si>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</si>
  <si>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</si>
  <si>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</si>
  <si>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</si>
  <si>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</si>
  <si>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</si>
  <si>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</si>
  <si>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</si>
  <si>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</si>
  <si>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</si>
  <si>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</si>
  <si>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</si>
  <si>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</si>
  <si>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</si>
  <si>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</si>
  <si>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</si>
  <si>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</si>
  <si>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</si>
  <si>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</si>
  <si>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</si>
  <si>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</si>
  <si>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</si>
  <si>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</si>
  <si>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</si>
  <si>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</si>
  <si>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</si>
  <si>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</si>
  <si>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</si>
  <si>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</si>
  <si>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</si>
  <si>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</si>
  <si>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</si>
  <si>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</si>
  <si>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</si>
  <si>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</si>
  <si>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</si>
  <si>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</si>
  <si>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</si>
  <si>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</si>
  <si>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</si>
  <si>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</si>
  <si>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</si>
  <si>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</si>
  <si>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</si>
  <si>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</si>
  <si>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</si>
  <si>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</si>
  <si>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</si>
  <si>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</si>
  <si>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</si>
  <si>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</si>
  <si>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</si>
  <si>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</si>
  <si>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</si>
  <si>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</si>
  <si>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</si>
  <si>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</si>
  <si>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</si>
  <si>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</si>
  <si>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</si>
  <si>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</si>
  <si>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</si>
  <si>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</si>
  <si>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</si>
  <si>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</si>
  <si>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</si>
  <si>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</si>
  <si>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</si>
  <si>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</si>
  <si>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</si>
  <si>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</si>
  <si>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</si>
  <si>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</si>
  <si>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</si>
  <si>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</si>
  <si>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</si>
  <si>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</si>
  <si>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</si>
  <si>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</si>
  <si>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</si>
  <si>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</si>
  <si>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</si>
  <si>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</si>
  <si>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</si>
  <si>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</si>
  <si>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</si>
  <si>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</si>
  <si>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</si>
  <si>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</si>
  <si>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</si>
  <si>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</si>
  <si>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</si>
  <si>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</si>
  <si>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</si>
  <si>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</si>
  <si>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</si>
  <si>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</si>
  <si>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</si>
  <si>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</si>
  <si>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</si>
  <si>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</si>
  <si>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</si>
  <si>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</si>
  <si>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</si>
  <si>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</si>
  <si>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</si>
  <si>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</si>
  <si>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</si>
  <si>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</si>
  <si>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</si>
  <si>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</si>
  <si>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</si>
  <si>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</si>
  <si>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</si>
  <si>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</si>
  <si>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</si>
  <si>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</si>
  <si>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</si>
  <si>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</si>
  <si>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</si>
  <si>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</si>
  <si>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</si>
  <si>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</si>
  <si>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</si>
  <si>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</si>
  <si>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</si>
  <si>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</si>
  <si>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</si>
  <si>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</si>
  <si>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</si>
  <si>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</si>
  <si>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</si>
  <si>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</si>
  <si>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</si>
  <si>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</si>
  <si>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</si>
  <si>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</si>
  <si>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</si>
  <si>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</si>
  <si>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</si>
  <si>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</si>
  <si>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</si>
  <si>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</si>
  <si>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</si>
  <si>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</si>
  <si>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</si>
  <si>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</si>
  <si>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</si>
  <si>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</si>
  <si>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</si>
  <si>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</si>
  <si>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</si>
  <si>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</si>
  <si>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</si>
  <si>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</si>
  <si>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</si>
  <si>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</si>
  <si>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</si>
  <si>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</si>
  <si>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</si>
  <si>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</si>
  <si>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</si>
  <si>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</si>
  <si>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</si>
  <si>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</si>
  <si>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</si>
  <si>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</si>
  <si>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</si>
  <si>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</si>
  <si>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</si>
  <si>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</si>
  <si>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</si>
  <si>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</si>
  <si>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</si>
  <si>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</si>
  <si>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</si>
  <si>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</si>
  <si>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</si>
  <si>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</si>
  <si>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</si>
  <si>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</si>
  <si>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</si>
  <si>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</si>
  <si>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</si>
  <si>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</si>
  <si>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</si>
  <si>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</si>
  <si>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</si>
  <si>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</si>
  <si>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</si>
  <si>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</si>
  <si>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</si>
  <si>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</si>
  <si>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</si>
  <si>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</si>
  <si>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</si>
  <si>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</si>
  <si>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</si>
  <si>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</si>
  <si>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</si>
  <si>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</si>
  <si>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</si>
  <si>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</si>
  <si>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</si>
  <si>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</si>
  <si>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</si>
  <si>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</si>
  <si>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</si>
  <si>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</si>
  <si>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</si>
  <si>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</si>
  <si>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</si>
  <si>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</si>
  <si>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</si>
  <si>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</si>
  <si>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</si>
  <si>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</si>
  <si>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</si>
  <si>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</si>
  <si>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</si>
  <si>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</si>
  <si>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</si>
  <si>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</si>
  <si>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</si>
  <si>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</si>
  <si>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</si>
  <si>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</si>
  <si>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</si>
  <si>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</si>
  <si>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</si>
  <si>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</si>
  <si>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</si>
  <si>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</si>
  <si>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</si>
  <si>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</si>
  <si>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</si>
  <si>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</si>
  <si>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</si>
  <si>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</si>
  <si>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</si>
  <si>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</si>
  <si>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</si>
  <si>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</si>
  <si>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</si>
  <si>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</si>
  <si>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</si>
  <si>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</si>
  <si>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</si>
  <si>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</si>
  <si>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</si>
  <si>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</si>
  <si>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</si>
  <si>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</si>
  <si>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</si>
  <si>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</si>
  <si>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</si>
  <si>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</si>
  <si>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</si>
  <si>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</si>
  <si>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</si>
  <si>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</si>
  <si>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</si>
  <si>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</si>
  <si>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</si>
  <si>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</si>
  <si>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</si>
  <si>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</si>
  <si>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</si>
  <si>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</si>
  <si>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</si>
  <si>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</si>
  <si>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</si>
  <si>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</si>
  <si>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</si>
  <si>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</si>
  <si>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</si>
  <si>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</si>
  <si>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</si>
  <si>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</si>
  <si>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</si>
  <si>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</si>
  <si>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</si>
  <si>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</si>
  <si>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</si>
  <si>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</si>
  <si>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</si>
  <si>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</si>
  <si>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</si>
  <si>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</si>
  <si>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</si>
  <si>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</si>
  <si>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</si>
  <si>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</si>
  <si>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</si>
  <si>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</si>
  <si>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</si>
  <si>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</si>
  <si>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</si>
  <si>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</si>
  <si>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</si>
  <si>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</si>
  <si>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</si>
  <si>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</si>
  <si>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</si>
  <si>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</si>
  <si>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</si>
  <si>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</si>
  <si>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</si>
  <si>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</si>
  <si>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</si>
  <si>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</si>
  <si>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</si>
  <si>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</si>
  <si>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</si>
  <si>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</si>
  <si>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</si>
  <si>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</si>
  <si>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</si>
  <si>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</si>
  <si>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</si>
  <si>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</si>
  <si>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</si>
  <si>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</si>
  <si>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</si>
  <si>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</si>
  <si>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</si>
  <si>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</si>
  <si>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</si>
  <si>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</si>
  <si>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</si>
  <si>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</si>
  <si>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</si>
  <si>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</si>
  <si>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</si>
  <si>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</si>
  <si>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</si>
  <si>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</si>
  <si>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</si>
  <si>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</si>
  <si>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</si>
  <si>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</si>
  <si>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</si>
  <si>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</si>
  <si>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</si>
  <si>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</si>
  <si>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</si>
  <si>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</si>
  <si>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</si>
  <si>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</si>
  <si>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</si>
  <si>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</si>
  <si>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</si>
  <si>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</si>
  <si>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</si>
  <si>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</si>
  <si>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</si>
  <si>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</si>
  <si>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</si>
  <si>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</si>
  <si>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</si>
  <si>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</si>
  <si>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</si>
  <si>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</si>
  <si>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</si>
  <si>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</si>
  <si>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</si>
  <si>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</si>
  <si>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</si>
  <si>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</si>
  <si>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</si>
  <si>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</si>
  <si>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</si>
  <si>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</si>
  <si>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</si>
  <si>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</si>
  <si>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</si>
  <si>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</si>
  <si>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</si>
  <si>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</si>
  <si>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</si>
  <si>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</si>
  <si>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</si>
  <si>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</si>
  <si>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</si>
  <si>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</si>
  <si>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</si>
  <si>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</si>
  <si>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</si>
  <si>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</si>
  <si>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</si>
  <si>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</si>
  <si>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</si>
  <si>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</si>
  <si>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</si>
  <si>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</si>
  <si>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</si>
  <si>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</si>
  <si>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</si>
  <si>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</si>
  <si>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</si>
  <si>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</si>
  <si>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</si>
  <si>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</si>
  <si>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</si>
  <si>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</si>
  <si>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</si>
  <si>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</si>
  <si>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</si>
  <si>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</si>
  <si>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</si>
  <si>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</si>
  <si>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</si>
  <si>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</si>
  <si>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</si>
  <si>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</si>
  <si>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</si>
  <si>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</si>
  <si>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</si>
  <si>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</si>
  <si>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</si>
  <si>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</si>
  <si>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</si>
  <si>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</si>
  <si>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</si>
  <si>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</si>
  <si>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</si>
  <si>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</si>
  <si>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</si>
  <si>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</si>
  <si>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</si>
  <si>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</si>
  <si>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</si>
  <si>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</si>
  <si>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</si>
  <si>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</si>
  <si>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</si>
  <si>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</si>
  <si>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</si>
  <si>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</si>
  <si>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</si>
  <si>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</si>
  <si>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</si>
  <si>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</si>
  <si>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</si>
  <si>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</si>
  <si>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</si>
  <si>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</si>
  <si>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</si>
  <si>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</si>
  <si>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</si>
  <si>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</si>
  <si>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</si>
  <si>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</si>
  <si>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</si>
  <si>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</si>
  <si>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</si>
  <si>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</si>
  <si>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</si>
  <si>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</si>
  <si>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</si>
  <si>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</si>
  <si>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</si>
  <si>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</si>
  <si>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</si>
  <si>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</si>
  <si>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</si>
  <si>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</si>
  <si>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</si>
  <si>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</si>
  <si>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</si>
  <si>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</si>
  <si>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</si>
  <si>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</si>
  <si>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</si>
  <si>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</si>
  <si>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</si>
  <si>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</si>
  <si>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</si>
  <si>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</si>
  <si>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</si>
  <si>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</si>
  <si>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</si>
  <si>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</si>
  <si>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</si>
  <si>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</si>
  <si>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</si>
  <si>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</si>
  <si>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</si>
  <si>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</si>
  <si>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</si>
  <si>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</si>
  <si>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</si>
  <si>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</si>
  <si>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</si>
  <si>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</si>
  <si>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</si>
  <si>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</si>
  <si>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</si>
  <si>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</si>
  <si>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</si>
  <si>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</si>
  <si>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</si>
  <si>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</si>
  <si>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</si>
  <si>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</si>
  <si>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</si>
  <si>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</si>
  <si>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</si>
  <si>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</si>
  <si>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</si>
  <si>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</si>
  <si>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</si>
  <si>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</si>
  <si>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</si>
  <si>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</si>
  <si>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</si>
  <si>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</si>
  <si>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</si>
  <si>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</si>
  <si>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</si>
  <si>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</si>
  <si>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</si>
  <si>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</si>
  <si>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</si>
  <si>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</si>
  <si>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</si>
  <si>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</si>
  <si>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</si>
  <si>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</si>
  <si>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</si>
  <si>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</si>
  <si>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</si>
  <si>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</si>
  <si>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</si>
  <si>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</si>
  <si>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</si>
  <si>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</si>
  <si>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</si>
  <si>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</si>
  <si>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</si>
  <si>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</si>
  <si>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</si>
  <si>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</si>
  <si>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</si>
  <si>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</si>
  <si>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</si>
  <si>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</si>
  <si>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</si>
  <si>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</si>
  <si>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</si>
  <si>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</si>
  <si>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</si>
  <si>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</si>
  <si>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</si>
  <si>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</si>
  <si>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</si>
  <si>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</si>
  <si>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</si>
  <si>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</si>
  <si>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</si>
  <si>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</si>
  <si>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</si>
  <si>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</si>
  <si>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</si>
  <si>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</si>
  <si>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</si>
  <si>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</si>
  <si>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</si>
  <si>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</si>
  <si>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</si>
  <si>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</si>
  <si>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</si>
  <si>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</si>
  <si>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</si>
  <si>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</si>
  <si>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</si>
  <si>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</si>
  <si>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</si>
  <si>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</si>
  <si>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</si>
  <si>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</si>
  <si>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</si>
  <si>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</si>
  <si>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</si>
  <si>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</si>
  <si>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</si>
  <si>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</si>
  <si>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</si>
  <si>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</si>
  <si>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</si>
  <si>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</si>
  <si>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</si>
  <si>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</si>
  <si>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</si>
  <si>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</si>
  <si>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</si>
  <si>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</si>
  <si>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</si>
  <si>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</si>
  <si>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</si>
  <si>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</si>
  <si>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</si>
  <si>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</si>
  <si>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</si>
  <si>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</si>
  <si>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</si>
  <si>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</si>
  <si>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</si>
  <si>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</si>
  <si>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</si>
  <si>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</si>
  <si>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</si>
  <si>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</si>
  <si>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</si>
  <si>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</si>
  <si>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</si>
  <si>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</si>
  <si>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</si>
  <si>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</si>
  <si>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</si>
  <si>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</si>
  <si>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</si>
  <si>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</si>
  <si>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</si>
  <si>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</si>
  <si>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</si>
  <si>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</si>
  <si>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</si>
  <si>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</si>
  <si>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</si>
  <si>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</si>
  <si>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</si>
  <si>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</si>
  <si>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</si>
  <si>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</si>
  <si>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</si>
  <si>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</si>
  <si>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</si>
  <si>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</si>
  <si>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</si>
  <si>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</si>
  <si>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</si>
  <si>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</si>
  <si>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</si>
  <si>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</si>
  <si>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</si>
  <si>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</si>
  <si>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</si>
  <si>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</si>
  <si>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</si>
  <si>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</si>
  <si>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</si>
  <si>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</si>
  <si>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</si>
  <si>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</si>
  <si>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</si>
  <si>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</si>
  <si>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</si>
  <si>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</si>
  <si>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</si>
  <si>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</si>
  <si>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</si>
  <si>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</si>
  <si>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</si>
  <si>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</si>
  <si>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</si>
  <si>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</si>
  <si>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</si>
  <si>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</si>
  <si>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</si>
  <si>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</si>
  <si>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</si>
  <si>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</si>
  <si>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</si>
  <si>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</si>
  <si>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</si>
  <si>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</si>
  <si>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</si>
  <si>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</si>
  <si>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</si>
  <si>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</si>
  <si>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</si>
  <si>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</si>
  <si>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</si>
  <si>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</si>
  <si>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</si>
  <si>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</si>
  <si>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</si>
  <si>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</si>
  <si>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</si>
  <si>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</si>
  <si>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</si>
  <si>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</si>
  <si>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</si>
  <si>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</si>
  <si>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</si>
  <si>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</si>
  <si>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</si>
  <si>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</si>
  <si>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</si>
  <si>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</si>
  <si>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</si>
  <si>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</si>
  <si>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</si>
  <si>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</si>
  <si>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</si>
  <si>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</si>
  <si>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</si>
  <si>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</si>
  <si>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</si>
  <si>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</si>
  <si>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</si>
  <si>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</si>
  <si>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</si>
  <si>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</si>
  <si>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</si>
  <si>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</si>
  <si>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</si>
  <si>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</si>
  <si>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</si>
  <si>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</si>
  <si>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</si>
  <si>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</si>
  <si>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</si>
  <si>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</si>
  <si>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</si>
  <si>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</si>
  <si>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</si>
  <si>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</si>
  <si>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</si>
  <si>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</si>
  <si>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</si>
  <si>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</si>
  <si>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</si>
  <si>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</si>
  <si>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</si>
  <si>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</si>
  <si>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</si>
  <si>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</si>
  <si>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</si>
  <si>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</si>
  <si>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</si>
  <si>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</si>
  <si>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</si>
  <si>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</si>
  <si>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</si>
  <si>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</si>
  <si>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</si>
  <si>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</si>
  <si>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</si>
  <si>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</si>
  <si>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</si>
  <si>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</si>
  <si>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</si>
  <si>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</si>
  <si>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</si>
  <si>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</si>
  <si>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</si>
  <si>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</si>
  <si>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</si>
  <si>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</si>
  <si>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</si>
  <si>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</si>
  <si>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</si>
  <si>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</si>
  <si>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</si>
  <si>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</si>
  <si>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</si>
  <si>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</si>
  <si>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</si>
  <si>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</si>
  <si>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</si>
  <si>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</si>
  <si>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</si>
  <si>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</si>
  <si>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</si>
  <si>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</si>
  <si>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</si>
  <si>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</si>
  <si>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</si>
  <si>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</si>
  <si>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</si>
  <si>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</si>
  <si>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</si>
  <si>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</si>
  <si>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</si>
  <si>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</si>
  <si>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</si>
  <si>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</si>
  <si>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</si>
  <si>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</si>
  <si>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</si>
  <si>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</si>
  <si>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</si>
  <si>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</si>
  <si>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</si>
  <si>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</si>
  <si>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</si>
  <si>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</si>
  <si>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</si>
  <si>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</si>
  <si>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</si>
  <si>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</si>
  <si>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</si>
  <si>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</si>
  <si>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</si>
  <si>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</si>
  <si>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</si>
  <si>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</si>
  <si>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</si>
  <si>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</si>
  <si>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</si>
  <si>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</si>
  <si>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</si>
  <si>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</si>
  <si>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</si>
  <si>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</si>
  <si>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</si>
  <si>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</si>
  <si>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</si>
  <si>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</si>
  <si>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</si>
  <si>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</si>
  <si>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</si>
  <si>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</si>
  <si>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</si>
  <si>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</si>
  <si>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</si>
  <si>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</si>
  <si>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</si>
  <si>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</si>
  <si>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</si>
  <si>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</si>
  <si>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</si>
  <si>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</si>
  <si>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</si>
  <si>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</si>
  <si>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</si>
  <si>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</si>
  <si>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</si>
  <si>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</si>
  <si>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</si>
  <si>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</si>
  <si>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</si>
  <si>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</si>
  <si>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</si>
  <si>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</si>
  <si>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</si>
  <si>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</si>
  <si>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</si>
  <si>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</si>
  <si>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</si>
  <si>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</si>
  <si>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</si>
  <si>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</si>
  <si>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</si>
  <si>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</si>
  <si>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</si>
  <si>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</si>
  <si>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</si>
  <si>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</si>
  <si>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</si>
  <si>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</si>
  <si>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</si>
  <si>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</si>
  <si>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</si>
  <si>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</si>
  <si>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</si>
  <si>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</si>
  <si>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</si>
  <si>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</si>
  <si>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</si>
  <si>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</si>
  <si>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</si>
  <si>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</si>
  <si>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</si>
  <si>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</si>
  <si>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</si>
  <si>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</si>
  <si>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</si>
  <si>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</si>
  <si>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</si>
  <si>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</si>
  <si>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</si>
  <si>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</si>
  <si>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</si>
  <si>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</si>
  <si>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</si>
  <si>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</si>
  <si>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</si>
  <si>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</si>
  <si>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</si>
  <si>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</si>
  <si>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</si>
  <si>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</si>
  <si>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</si>
  <si>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</si>
  <si>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</si>
  <si>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</si>
  <si>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</si>
  <si>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</si>
  <si>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</si>
  <si>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</si>
  <si>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</si>
  <si>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</si>
  <si>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</si>
  <si>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</si>
  <si>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</si>
  <si>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</si>
  <si>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</si>
  <si>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</si>
  <si>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</si>
  <si>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</si>
  <si>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</si>
  <si>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</si>
  <si>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</si>
  <si>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</si>
  <si>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</si>
  <si>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</si>
  <si>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</si>
  <si>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</si>
  <si>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</si>
  <si>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</si>
  <si>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</si>
  <si>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</si>
  <si>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</si>
  <si>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</si>
  <si>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</si>
  <si>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</si>
  <si>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</si>
  <si>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</si>
  <si>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</si>
  <si>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</si>
  <si>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</si>
  <si>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</si>
  <si>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</si>
  <si>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</si>
  <si>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</si>
  <si>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</si>
  <si>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</si>
  <si>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</si>
  <si>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</si>
  <si>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</si>
  <si>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</si>
  <si>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</si>
  <si>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</si>
  <si>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</si>
  <si>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</si>
  <si>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</si>
  <si>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</si>
  <si>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</si>
  <si>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</si>
  <si>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</si>
  <si>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</si>
  <si>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</si>
  <si>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</si>
  <si>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</si>
  <si>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</si>
  <si>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</si>
  <si>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</si>
  <si>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</si>
  <si>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</si>
  <si>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</si>
  <si>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</si>
  <si>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</si>
  <si>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</si>
  <si>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</si>
  <si>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</si>
  <si>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</si>
  <si>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</si>
  <si>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</si>
  <si>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</si>
  <si>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</si>
  <si>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</si>
  <si>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</si>
  <si>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</si>
  <si>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</si>
  <si>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</si>
  <si>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</si>
  <si>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</si>
  <si>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</si>
  <si>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</si>
  <si>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</si>
  <si>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</si>
  <si>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</si>
  <si>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</si>
  <si>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</si>
  <si>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</si>
  <si>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</si>
  <si>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</si>
  <si>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</si>
  <si>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</si>
  <si>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</si>
  <si>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</si>
  <si>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</si>
  <si>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</si>
  <si>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</si>
  <si>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</si>
  <si>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</si>
  <si>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</si>
  <si>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</si>
  <si>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</si>
  <si>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</si>
  <si>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</si>
  <si>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</si>
  <si>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</si>
  <si>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</si>
  <si>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</si>
  <si>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</si>
  <si>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</si>
  <si>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</si>
  <si>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</si>
  <si>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</si>
  <si>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</si>
  <si>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</si>
  <si>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</si>
  <si>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</si>
  <si>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</si>
  <si>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</si>
  <si>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</si>
  <si>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</si>
  <si>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</si>
  <si>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</si>
  <si>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</si>
  <si>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</si>
  <si>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</si>
  <si>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</si>
  <si>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</si>
  <si>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</si>
  <si>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</si>
  <si>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</si>
  <si>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</si>
  <si>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</si>
  <si>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</si>
  <si>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</si>
  <si>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</si>
  <si>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</si>
  <si>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</si>
  <si>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</si>
  <si>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</si>
  <si>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</si>
  <si>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</si>
  <si>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</si>
  <si>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</si>
  <si>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</si>
  <si>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</si>
  <si>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</si>
  <si>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</si>
  <si>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</si>
  <si>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</si>
  <si>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</si>
  <si>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</si>
  <si>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</si>
  <si>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</si>
  <si>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</si>
  <si>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</si>
  <si>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</si>
  <si>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</si>
  <si>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</si>
  <si>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</si>
  <si>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</si>
  <si>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</si>
  <si>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</si>
  <si>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</si>
  <si>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</si>
  <si>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</si>
  <si>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</si>
  <si>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</si>
  <si>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</si>
  <si>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</si>
  <si>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</si>
  <si>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</si>
  <si>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</si>
  <si>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</si>
  <si>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</si>
  <si>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</si>
  <si>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</si>
  <si>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</si>
  <si>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</si>
  <si>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</si>
  <si>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</si>
  <si>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</si>
  <si>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</si>
  <si>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</si>
  <si>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</si>
  <si>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</si>
  <si>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</si>
  <si>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</si>
  <si>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</si>
  <si>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</si>
  <si>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</si>
  <si>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</si>
  <si>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</si>
  <si>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</si>
  <si>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</si>
  <si>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</si>
  <si>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</si>
  <si>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</si>
  <si>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</si>
  <si>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</si>
  <si>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</si>
  <si>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</si>
  <si>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</si>
  <si>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</si>
  <si>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</si>
  <si>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</si>
  <si>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</si>
  <si>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</si>
  <si>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</si>
  <si>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</si>
  <si>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</si>
  <si>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</si>
  <si>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</si>
  <si>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</si>
  <si>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</si>
  <si>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</si>
  <si>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</si>
  <si>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</si>
  <si>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</si>
  <si>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</si>
  <si>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</si>
  <si>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</si>
  <si>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</si>
  <si>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</si>
  <si>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</si>
  <si>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</si>
  <si>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</si>
  <si>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</si>
  <si>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</si>
  <si>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</si>
  <si>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</si>
  <si>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</si>
  <si>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</si>
  <si>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</si>
  <si>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</si>
  <si>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</si>
  <si>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</si>
  <si>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</si>
  <si>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</si>
  <si>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</si>
  <si>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</si>
  <si>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</si>
  <si>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</si>
  <si>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</si>
  <si>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</si>
  <si>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</si>
  <si>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</si>
  <si>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</si>
  <si>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</si>
  <si>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</si>
  <si>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</si>
  <si>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</si>
  <si>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</si>
  <si>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</si>
  <si>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</si>
  <si>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</si>
  <si>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</si>
  <si>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</si>
  <si>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</si>
  <si>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</si>
  <si>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</si>
  <si>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</si>
  <si>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</si>
  <si>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</si>
  <si>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</si>
  <si>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</si>
  <si>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</si>
  <si>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</si>
  <si>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</si>
  <si>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</si>
  <si>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</si>
  <si>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</si>
  <si>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</si>
  <si>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</si>
  <si>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</si>
  <si>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</si>
  <si>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</si>
  <si>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</si>
  <si>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</si>
  <si>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</si>
  <si>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</si>
  <si>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</si>
  <si>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</si>
  <si>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</si>
  <si>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</si>
  <si>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</si>
  <si>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</si>
  <si>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</si>
  <si>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</si>
  <si>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</si>
  <si>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</si>
  <si>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</si>
  <si>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</si>
  <si>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</si>
  <si>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</si>
  <si>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</si>
  <si>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</si>
  <si>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</si>
  <si>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</si>
  <si>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</si>
  <si>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</si>
  <si>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</si>
  <si>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</si>
  <si>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</si>
  <si>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</si>
  <si>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</si>
  <si>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</si>
  <si>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</si>
  <si>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</si>
  <si>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</si>
  <si>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</si>
  <si>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</si>
  <si>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</si>
  <si>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</si>
  <si>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</si>
  <si>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</si>
  <si>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</si>
  <si>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</si>
  <si>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</si>
  <si>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</si>
  <si>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</si>
  <si>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</si>
  <si>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</si>
  <si>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</si>
  <si>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</si>
  <si>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</si>
  <si>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</si>
  <si>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</si>
  <si>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</si>
  <si>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</si>
  <si>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</si>
  <si>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</si>
  <si>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</si>
  <si>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</si>
  <si>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</si>
  <si>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</si>
  <si>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</si>
  <si>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</si>
  <si>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</si>
  <si>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</si>
  <si>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</si>
  <si>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</si>
  <si>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</si>
  <si>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</si>
  <si>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</si>
  <si>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</si>
  <si>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</si>
  <si>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</si>
  <si>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</si>
  <si>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</si>
  <si>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</si>
  <si>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</si>
  <si>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</si>
  <si>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</si>
  <si>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</si>
  <si>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</si>
  <si>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</si>
  <si>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</si>
  <si>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</si>
  <si>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</si>
  <si>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</si>
  <si>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</si>
  <si>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</si>
  <si>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</si>
  <si>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</si>
  <si>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</si>
  <si>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</si>
  <si>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</si>
  <si>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</si>
  <si>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</si>
  <si>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</si>
  <si>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</si>
  <si>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</si>
  <si>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</si>
  <si>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</si>
  <si>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</si>
  <si>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</si>
  <si>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</si>
  <si>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</si>
  <si>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</si>
  <si>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</si>
  <si>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</si>
  <si>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</si>
  <si>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</si>
  <si>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</si>
  <si>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</si>
  <si>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</si>
  <si>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</si>
  <si>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</si>
  <si>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</si>
  <si>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</si>
  <si>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</si>
  <si>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</si>
  <si>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</si>
  <si>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</si>
  <si>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</si>
  <si>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</si>
  <si>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</si>
  <si>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</si>
  <si>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</si>
  <si>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</si>
  <si>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</si>
  <si>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</si>
  <si>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</si>
  <si>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</si>
  <si>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</si>
  <si>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</si>
  <si>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</si>
  <si>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</si>
  <si>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</si>
  <si>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</si>
  <si>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</si>
  <si>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</si>
  <si>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</si>
  <si>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</si>
  <si>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</si>
  <si>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</si>
  <si>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</si>
  <si>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</si>
  <si>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</si>
  <si>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</si>
  <si>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</si>
  <si>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</si>
  <si>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</si>
  <si>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</si>
  <si>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</si>
  <si>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</si>
  <si>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</si>
  <si>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</si>
  <si>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</si>
  <si>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</si>
  <si>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</si>
  <si>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</si>
  <si>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</si>
  <si>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</si>
  <si>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</si>
  <si>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</si>
  <si>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</si>
  <si>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</si>
  <si>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</si>
  <si>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</si>
  <si>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</si>
  <si>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</si>
  <si>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</si>
  <si>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</si>
  <si>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</si>
  <si>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</si>
  <si>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</si>
  <si>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</si>
  <si>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</si>
  <si>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</si>
  <si>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</si>
  <si>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</si>
  <si>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</si>
  <si>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</si>
  <si>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</si>
  <si>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</si>
  <si>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</si>
  <si>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</si>
  <si>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</si>
  <si>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</si>
  <si>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</si>
  <si>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</si>
  <si>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</si>
  <si>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</si>
  <si>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</si>
  <si>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</si>
  <si>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</si>
  <si>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</si>
  <si>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</si>
  <si>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</si>
  <si>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</si>
  <si>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</si>
  <si>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</si>
  <si>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</si>
  <si>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</si>
  <si>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</si>
  <si>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</si>
  <si>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</si>
  <si>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</si>
  <si>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</si>
  <si>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</si>
  <si>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</si>
  <si>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</si>
  <si>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</si>
  <si>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</si>
  <si>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</si>
  <si>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</si>
  <si>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</si>
  <si>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</si>
  <si>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</si>
  <si>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</si>
  <si>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</si>
  <si>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</si>
  <si>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</si>
  <si>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</si>
  <si>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</si>
  <si>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</si>
  <si>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</si>
  <si>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</si>
  <si>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</si>
  <si>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</si>
  <si>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</si>
  <si>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</si>
  <si>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</si>
  <si>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</si>
  <si>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</si>
  <si>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</si>
  <si>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</si>
  <si>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</si>
  <si>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</si>
  <si>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</si>
  <si>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</si>
  <si>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</si>
  <si>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</si>
  <si>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</si>
  <si>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</si>
  <si>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</si>
  <si>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</si>
  <si>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</si>
  <si>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</si>
  <si>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</si>
  <si>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</si>
  <si>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</si>
  <si>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</si>
  <si>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</si>
  <si>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</si>
  <si>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</si>
  <si>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</si>
  <si>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</si>
  <si>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</si>
  <si>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</si>
  <si>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</si>
  <si>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</si>
  <si>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</si>
  <si>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</si>
  <si>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</si>
  <si>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</si>
  <si>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</si>
  <si>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</si>
  <si>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</si>
  <si>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</si>
  <si>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</si>
  <si>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</si>
  <si>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</si>
  <si>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</si>
  <si>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</si>
  <si>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</si>
  <si>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</si>
  <si>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</si>
  <si>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</si>
  <si>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</si>
  <si>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</si>
  <si>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</si>
  <si>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</si>
  <si>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</si>
  <si>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</si>
  <si>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</si>
  <si>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</si>
  <si>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</si>
  <si>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</si>
  <si>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</si>
  <si>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</si>
  <si>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</si>
  <si>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</si>
  <si>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</si>
  <si>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</si>
  <si>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</si>
  <si>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</si>
  <si>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</si>
  <si>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</si>
  <si>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</si>
  <si>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</si>
  <si>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</si>
  <si>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</si>
  <si>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</si>
  <si>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</si>
  <si>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</si>
  <si>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</si>
  <si>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</si>
  <si>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</si>
  <si>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</si>
  <si>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</si>
  <si>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</si>
  <si>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</si>
  <si>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</si>
  <si>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</si>
  <si>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</si>
  <si>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</si>
  <si>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</si>
  <si>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</si>
  <si>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</si>
  <si>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</si>
  <si>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</si>
  <si>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</si>
  <si>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</si>
  <si>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</si>
  <si>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</si>
  <si>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</si>
  <si>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</si>
  <si>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</si>
  <si>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</si>
  <si>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</si>
  <si>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</si>
  <si>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</si>
  <si>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</si>
  <si>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</si>
  <si>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</si>
  <si>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</si>
  <si>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</si>
  <si>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</si>
  <si>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</si>
  <si>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</si>
  <si>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</si>
  <si>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</si>
  <si>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</si>
  <si>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</si>
  <si>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</si>
  <si>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</si>
  <si>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</si>
  <si>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</si>
  <si>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</si>
  <si>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</si>
  <si>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</si>
  <si>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</si>
  <si>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</si>
  <si>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</si>
  <si>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</si>
  <si>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</si>
  <si>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</si>
  <si>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</si>
  <si>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</si>
  <si>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</si>
  <si>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</si>
  <si>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</si>
  <si>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</si>
  <si>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</si>
  <si>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</si>
  <si>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</si>
  <si>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</si>
  <si>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</si>
  <si>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</si>
  <si>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</si>
  <si>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</si>
  <si>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</si>
  <si>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</si>
  <si>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</si>
  <si>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</si>
  <si>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</si>
  <si>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</si>
  <si>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</si>
  <si>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</si>
  <si>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</si>
  <si>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</si>
  <si>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</si>
  <si>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</si>
  <si>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</si>
  <si>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</si>
  <si>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</si>
  <si>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</si>
  <si>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</si>
  <si>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</si>
  <si>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</si>
  <si>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</si>
  <si>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</si>
  <si>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</si>
  <si>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</si>
  <si>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</si>
  <si>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</si>
  <si>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</si>
  <si>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</si>
  <si>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</si>
  <si>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</si>
  <si>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</si>
  <si>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</si>
  <si>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</si>
  <si>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</si>
  <si>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</si>
  <si>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</si>
  <si>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</si>
  <si>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</si>
  <si>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</si>
  <si>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</si>
  <si>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</si>
  <si>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</si>
  <si>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</si>
  <si>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</si>
  <si>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</si>
  <si>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</si>
  <si>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</si>
  <si>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</si>
  <si>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</si>
  <si>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</si>
  <si>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</si>
  <si>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</si>
  <si>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</si>
  <si>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</si>
  <si>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</si>
  <si>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</si>
  <si>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</si>
  <si>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</si>
  <si>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</si>
  <si>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</si>
  <si>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</si>
  <si>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</si>
  <si>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</si>
  <si>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</si>
  <si>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</si>
  <si>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</si>
  <si>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</si>
  <si>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</si>
  <si>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</si>
  <si>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</si>
  <si>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</si>
  <si>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</si>
  <si>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</si>
  <si>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</si>
  <si>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</si>
  <si>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</si>
  <si>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</si>
  <si>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</si>
  <si>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</si>
  <si>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</si>
  <si>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</si>
  <si>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</si>
  <si>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</si>
  <si>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</si>
  <si>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</si>
  <si>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</si>
  <si>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</si>
  <si>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</si>
  <si>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</si>
  <si>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</si>
  <si>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</si>
  <si>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</si>
  <si>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</si>
  <si>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</si>
  <si>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</si>
  <si>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</si>
  <si>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</si>
  <si>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</si>
  <si>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</si>
  <si>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</si>
  <si>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</si>
  <si>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</si>
  <si>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</si>
  <si>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</si>
  <si>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</si>
  <si>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</si>
  <si>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</si>
  <si>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</si>
  <si>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</si>
  <si>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</si>
  <si>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</si>
  <si>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</si>
  <si>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</si>
  <si>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</si>
  <si>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</si>
  <si>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</si>
  <si>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</si>
  <si>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</si>
  <si>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</si>
  <si>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</si>
  <si>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</si>
  <si>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</si>
  <si>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</si>
  <si>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</si>
  <si>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</si>
  <si>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</si>
  <si>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</si>
  <si>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</si>
  <si>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</si>
  <si>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</si>
  <si>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</si>
  <si>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</si>
  <si>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</si>
  <si>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</si>
  <si>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</si>
  <si>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</si>
  <si>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</si>
  <si>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</si>
  <si>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</si>
  <si>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</si>
  <si>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</si>
  <si>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</si>
  <si>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</si>
  <si>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</si>
  <si>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</si>
  <si>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</si>
  <si>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</si>
  <si>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</si>
  <si>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</si>
  <si>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</si>
  <si>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</si>
  <si>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</si>
  <si>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</si>
  <si>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</si>
  <si>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</si>
  <si>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</si>
  <si>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</si>
  <si>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</si>
  <si>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</si>
  <si>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</si>
  <si>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</si>
  <si>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</si>
  <si>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</si>
  <si>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</si>
  <si>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</si>
  <si>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</si>
  <si>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</si>
  <si>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</si>
  <si>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</si>
  <si>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</si>
  <si>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</si>
  <si>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</si>
  <si>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</si>
  <si>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</si>
  <si>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</si>
  <si>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</si>
  <si>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</si>
  <si>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</si>
  <si>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</si>
  <si>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</si>
  <si>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</si>
  <si>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</si>
  <si>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</si>
  <si>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</si>
  <si>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</si>
  <si>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</si>
  <si>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</si>
  <si>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</si>
  <si>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</si>
  <si>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</si>
  <si>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</si>
  <si>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</si>
  <si>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</si>
  <si>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</si>
  <si>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</si>
  <si>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</si>
  <si>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</si>
  <si>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</si>
  <si>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</si>
  <si>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</si>
  <si>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</si>
  <si>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</si>
  <si>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</si>
  <si>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</si>
  <si>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</si>
  <si>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</si>
  <si>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</si>
  <si>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</si>
  <si>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</si>
  <si>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</si>
  <si>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</si>
  <si>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</si>
  <si>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</si>
  <si>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</si>
  <si>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</si>
  <si>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</si>
  <si>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</si>
  <si>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</si>
  <si>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</si>
  <si>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</si>
  <si>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</si>
  <si>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</si>
  <si>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</si>
  <si>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</si>
  <si>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</si>
  <si>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</si>
  <si>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</si>
  <si>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</si>
  <si>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</si>
  <si>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</si>
  <si>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</si>
  <si>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</si>
  <si>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</si>
  <si>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</si>
  <si>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</si>
  <si>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</si>
  <si>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</si>
  <si>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</si>
  <si>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</si>
  <si>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</si>
  <si>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</si>
  <si>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</si>
  <si>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</si>
  <si>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</si>
  <si>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</si>
  <si>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</si>
  <si>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</si>
  <si>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</si>
  <si>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</si>
  <si>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</si>
  <si>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</si>
  <si>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</si>
  <si>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</si>
  <si>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</si>
  <si>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</si>
  <si>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</si>
  <si>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</si>
  <si>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</si>
  <si>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</si>
  <si>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</si>
  <si>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</si>
  <si>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</si>
  <si>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</si>
  <si>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</si>
  <si>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</si>
  <si>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</si>
  <si>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</si>
  <si>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</si>
  <si>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</si>
  <si>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</si>
  <si>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</si>
  <si>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</si>
  <si>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</si>
  <si>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</si>
  <si>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</si>
  <si>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</si>
  <si>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</si>
  <si>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</si>
  <si>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</si>
  <si>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</si>
  <si>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</si>
  <si>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</si>
  <si>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</si>
  <si>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</si>
  <si>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</si>
  <si>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</si>
  <si>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</si>
  <si>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</si>
  <si>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</si>
  <si>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</si>
  <si>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</si>
  <si>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</si>
  <si>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</si>
  <si>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</si>
  <si>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</si>
  <si>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</si>
  <si>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</si>
  <si>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</si>
  <si>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</si>
  <si>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</si>
  <si>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</si>
  <si>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</si>
  <si>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</si>
  <si>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</si>
  <si>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</si>
  <si>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</si>
  <si>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</si>
  <si>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</si>
  <si>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</si>
  <si>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</si>
  <si>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</si>
  <si>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</si>
  <si>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</si>
  <si>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</si>
  <si>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</si>
  <si>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</si>
  <si>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</si>
  <si>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</si>
  <si>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</si>
  <si>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</si>
  <si>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</si>
  <si>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</si>
  <si>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</si>
  <si>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</si>
  <si>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</si>
  <si>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</si>
  <si>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</si>
  <si>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</si>
  <si>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</si>
  <si>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</si>
  <si>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</si>
  <si>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</si>
  <si>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</si>
  <si>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</si>
  <si>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</si>
  <si>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</si>
  <si>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</si>
  <si>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</si>
  <si>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</si>
  <si>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</si>
  <si>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</si>
  <si>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</si>
  <si>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</si>
  <si>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</si>
  <si>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</si>
  <si>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</si>
  <si>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</si>
  <si>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</si>
  <si>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</si>
  <si>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</si>
  <si>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</si>
  <si>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</si>
  <si>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</si>
  <si>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</si>
  <si>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</si>
  <si>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</si>
  <si>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</si>
  <si>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</si>
  <si>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</si>
  <si>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</si>
  <si>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</si>
  <si>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</si>
  <si>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</si>
  <si>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</si>
  <si>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</si>
  <si>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</si>
  <si>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</si>
  <si>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</si>
  <si>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</si>
  <si>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</si>
  <si>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</si>
  <si>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</si>
  <si>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</si>
  <si>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</si>
  <si>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</si>
  <si>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</si>
  <si>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</si>
  <si>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</si>
  <si>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</si>
  <si>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</si>
  <si>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</si>
  <si>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</si>
  <si>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</si>
  <si>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</si>
  <si>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</si>
  <si>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</si>
  <si>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</si>
  <si>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</si>
  <si>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</si>
  <si>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</si>
  <si>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</si>
  <si>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</si>
  <si>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</si>
  <si>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</si>
  <si>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</si>
  <si>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</si>
  <si>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</si>
  <si>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</si>
  <si>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</si>
  <si>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</si>
  <si>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</si>
  <si>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</si>
  <si>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</si>
  <si>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</si>
  <si>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</si>
  <si>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</si>
  <si>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</si>
  <si>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</si>
  <si>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</si>
  <si>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</si>
  <si>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</si>
  <si>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</si>
  <si>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</si>
  <si>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</si>
  <si>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</si>
  <si>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</si>
  <si>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</si>
  <si>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</si>
  <si>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</si>
  <si>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</si>
  <si>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</si>
  <si>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</si>
  <si>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</si>
  <si>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</si>
  <si>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</si>
  <si>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</si>
  <si>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</si>
  <si>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</si>
  <si>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</si>
  <si>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</si>
  <si>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</si>
  <si>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</si>
  <si>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</si>
  <si>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</si>
  <si>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</si>
  <si>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</si>
  <si>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</si>
  <si>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</si>
  <si>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</si>
  <si>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</si>
  <si>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</si>
  <si>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</si>
  <si>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</si>
  <si>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</si>
  <si>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</si>
  <si>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</si>
  <si>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</si>
  <si>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</si>
  <si>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</si>
  <si>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</si>
  <si>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</si>
  <si>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</si>
  <si>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</si>
  <si>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</si>
  <si>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</si>
  <si>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</si>
  <si>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</si>
  <si>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</si>
  <si>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</si>
  <si>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</si>
  <si>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</si>
  <si>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</si>
  <si>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</si>
  <si>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</si>
  <si>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</si>
  <si>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</si>
  <si>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</si>
  <si>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</si>
  <si>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</si>
  <si>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</si>
  <si>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</si>
  <si>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</si>
  <si>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</si>
  <si>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</si>
  <si>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</si>
  <si>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</si>
  <si>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</si>
  <si>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</si>
  <si>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</si>
  <si>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</si>
  <si>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</si>
  <si>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</si>
  <si>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</si>
  <si>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</si>
  <si>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</si>
  <si>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</si>
  <si>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</si>
  <si>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</si>
  <si>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</si>
  <si>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</si>
  <si>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</si>
  <si>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</si>
  <si>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</si>
  <si>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</si>
  <si>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</si>
  <si>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</si>
  <si>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</si>
  <si>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</si>
  <si>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</si>
  <si>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</si>
  <si>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</si>
  <si>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</si>
  <si>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</si>
  <si>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</si>
  <si>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</si>
  <si>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</si>
  <si>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</si>
  <si>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</si>
  <si>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</si>
  <si>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</si>
  <si>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</si>
  <si>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</si>
  <si>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</si>
  <si>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</si>
  <si>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</si>
  <si>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</si>
  <si>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</si>
  <si>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</si>
  <si>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</si>
  <si>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</si>
  <si>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</si>
  <si>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</si>
  <si>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</si>
  <si>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</si>
  <si>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</si>
  <si>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</si>
  <si>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</si>
  <si>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</si>
  <si>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</si>
  <si>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</si>
  <si>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</si>
  <si>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</si>
  <si>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</si>
  <si>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</si>
  <si>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</si>
  <si>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</si>
  <si>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</si>
  <si>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</si>
  <si>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</si>
  <si>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</si>
  <si>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</si>
  <si>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</si>
  <si>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</si>
  <si>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</si>
  <si>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</si>
  <si>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</si>
  <si>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</si>
  <si>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</si>
  <si>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</si>
  <si>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</si>
  <si>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</si>
  <si>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</si>
  <si>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</si>
  <si>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</si>
  <si>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</si>
  <si>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</si>
  <si>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</si>
  <si>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</si>
  <si>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</si>
  <si>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</si>
  <si>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</si>
  <si>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</si>
  <si>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</si>
  <si>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</si>
  <si>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</si>
  <si>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</si>
  <si>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</si>
  <si>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</si>
  <si>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</si>
  <si>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</si>
  <si>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</si>
  <si>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</si>
  <si>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</si>
  <si>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</si>
  <si>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</si>
  <si>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</si>
  <si>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</si>
  <si>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</si>
  <si>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</si>
  <si>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</si>
  <si>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</si>
  <si>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</si>
  <si>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</si>
  <si>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</si>
  <si>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</si>
  <si>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</si>
  <si>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</si>
  <si>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</si>
  <si>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</si>
  <si>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</si>
  <si>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</si>
  <si>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</si>
  <si>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</si>
  <si>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</si>
  <si>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</si>
  <si>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</si>
  <si>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</si>
  <si>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</si>
  <si>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</si>
  <si>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</si>
  <si>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</si>
  <si>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</si>
  <si>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</si>
  <si>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</si>
  <si>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</si>
  <si>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</si>
  <si>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</si>
  <si>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</si>
  <si>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</si>
  <si>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</si>
  <si>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</si>
  <si>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</si>
  <si>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</si>
  <si>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</si>
  <si>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</si>
  <si>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</si>
  <si>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</si>
  <si>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</si>
  <si>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</si>
  <si>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</si>
  <si>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</si>
  <si>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</si>
  <si>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</si>
  <si>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</si>
  <si>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</si>
  <si>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</si>
  <si>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</si>
  <si>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</si>
  <si>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</si>
  <si>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</si>
  <si>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</si>
  <si>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</si>
  <si>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</si>
  <si>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</si>
  <si>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</si>
  <si>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</si>
  <si>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</si>
  <si>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</si>
  <si>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</si>
  <si>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</si>
  <si>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</si>
  <si>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</si>
  <si>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</si>
  <si>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</si>
  <si>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</si>
  <si>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</si>
  <si>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</si>
  <si>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</si>
  <si>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</si>
  <si>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</si>
  <si>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</si>
  <si>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</si>
  <si>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</si>
  <si>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</si>
  <si>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</si>
  <si>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</si>
  <si>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</si>
  <si>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</si>
  <si>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</si>
  <si>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</si>
  <si>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</si>
  <si>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</si>
  <si>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</si>
  <si>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</si>
  <si>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</si>
  <si>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</si>
  <si>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</si>
  <si>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</si>
  <si>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</si>
  <si>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</si>
  <si>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</si>
  <si>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</si>
  <si>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</si>
  <si>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</si>
  <si>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</si>
  <si>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</si>
  <si>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</si>
  <si>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</si>
  <si>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</si>
  <si>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</si>
  <si>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</si>
  <si>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</si>
  <si>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</si>
  <si>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</si>
  <si>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</si>
  <si>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</si>
  <si>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</si>
  <si>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</si>
  <si>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</si>
  <si>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</si>
  <si>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</si>
  <si>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</si>
  <si>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</si>
  <si>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</si>
  <si>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</si>
  <si>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</si>
  <si>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</si>
  <si>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</si>
  <si>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</si>
  <si>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</si>
  <si>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</si>
  <si>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</si>
  <si>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</si>
  <si>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</si>
  <si>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</si>
  <si>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</si>
  <si>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</si>
  <si>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</si>
  <si>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</si>
  <si>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</si>
  <si>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</si>
  <si>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</si>
  <si>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</si>
  <si>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</si>
  <si>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</si>
  <si>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</si>
  <si>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</si>
  <si>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</si>
  <si>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</si>
  <si>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</si>
  <si>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</si>
  <si>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</si>
  <si>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</si>
  <si>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</si>
  <si>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</si>
  <si>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</si>
  <si>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</si>
  <si>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</si>
  <si>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</si>
  <si>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</si>
  <si>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</si>
  <si>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</si>
  <si>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</si>
  <si>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</si>
  <si>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</si>
  <si>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</si>
  <si>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</si>
  <si>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</si>
  <si>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</si>
  <si>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</si>
  <si>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</si>
  <si>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</si>
  <si>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</si>
  <si>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</si>
  <si>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</si>
  <si>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</si>
  <si>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</si>
  <si>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</si>
  <si>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</si>
  <si>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</si>
  <si>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</si>
  <si>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</si>
  <si>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</si>
  <si>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</si>
  <si>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</si>
  <si>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</si>
  <si>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</si>
  <si>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</si>
  <si>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</si>
  <si>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</si>
  <si>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</si>
  <si>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</si>
  <si>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</si>
  <si>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</si>
  <si>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</si>
  <si>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</si>
  <si>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</si>
  <si>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</si>
  <si>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</si>
  <si>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</si>
  <si>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</si>
  <si>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</si>
  <si>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</si>
  <si>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</si>
  <si>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</si>
  <si>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</si>
  <si>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</si>
  <si>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</si>
  <si>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</si>
  <si>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</si>
  <si>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</si>
  <si>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</si>
  <si>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</si>
  <si>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</si>
  <si>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</si>
  <si>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</si>
  <si>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</si>
  <si>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</si>
  <si>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</si>
  <si>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</si>
  <si>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</si>
  <si>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</si>
  <si>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</si>
  <si>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</si>
  <si>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</si>
  <si>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</si>
  <si>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</si>
  <si>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</si>
  <si>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</si>
  <si>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</si>
  <si>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</si>
  <si>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</si>
  <si>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</si>
  <si>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</si>
  <si>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</si>
  <si>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</si>
  <si>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</si>
  <si>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</si>
  <si>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</si>
  <si>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</si>
  <si>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</si>
  <si>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</si>
  <si>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</si>
  <si>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</si>
  <si>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</si>
  <si>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</si>
  <si>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</si>
  <si>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</si>
  <si>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</si>
  <si>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</si>
  <si>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</si>
  <si>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</si>
  <si>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</si>
  <si>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</si>
  <si>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</si>
  <si>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</si>
  <si>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</si>
  <si>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</si>
  <si>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</si>
  <si>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</si>
  <si>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</si>
  <si>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</si>
  <si>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</si>
  <si>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</si>
  <si>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</si>
  <si>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</si>
  <si>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</si>
  <si>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</si>
  <si>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</si>
  <si>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</si>
  <si>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</si>
  <si>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</si>
  <si>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</si>
  <si>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</si>
  <si>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</si>
  <si>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</si>
  <si>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</si>
  <si>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</si>
  <si>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</si>
  <si>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</si>
  <si>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</si>
  <si>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</si>
  <si>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</si>
  <si>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</si>
  <si>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</si>
  <si>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</si>
  <si>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</si>
  <si>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</si>
  <si>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</si>
  <si>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</si>
  <si>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</si>
  <si>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</si>
  <si>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</si>
  <si>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</si>
  <si>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</si>
  <si>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</si>
  <si>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</si>
  <si>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</si>
  <si>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</si>
  <si>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</si>
  <si>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</si>
  <si>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</si>
  <si>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</si>
  <si>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</si>
  <si>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</si>
  <si>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</si>
  <si>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</si>
  <si>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</si>
  <si>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</si>
  <si>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</si>
  <si>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</si>
  <si>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</si>
  <si>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</si>
  <si>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</si>
  <si>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</si>
  <si>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</si>
  <si>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</si>
  <si>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</si>
  <si>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</si>
  <si>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</si>
  <si>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</si>
  <si>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</si>
  <si>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</si>
  <si>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</si>
  <si>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</si>
  <si>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</si>
  <si>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</si>
  <si>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</si>
  <si>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</si>
  <si>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</si>
  <si>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</si>
  <si>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</si>
  <si>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</si>
  <si>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</si>
  <si>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</si>
  <si>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</si>
  <si>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</si>
  <si>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</si>
  <si>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</si>
  <si>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</si>
  <si>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</si>
  <si>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</si>
  <si>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</si>
  <si>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</si>
  <si>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</si>
  <si>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</si>
  <si>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</si>
  <si>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</si>
  <si>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</si>
  <si>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</si>
  <si>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</si>
  <si>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</si>
  <si>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</si>
  <si>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</si>
  <si>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</si>
  <si>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</si>
  <si>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</si>
  <si>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</si>
  <si>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</si>
  <si>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</si>
  <si>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</si>
  <si>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</si>
  <si>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</si>
  <si>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</si>
  <si>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</si>
  <si>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</si>
  <si>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</si>
  <si>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</si>
  <si>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</si>
  <si>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</si>
  <si>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</si>
  <si>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</si>
  <si>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</si>
  <si>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</si>
  <si>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</si>
  <si>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</si>
  <si>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</si>
  <si>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</si>
  <si>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</si>
  <si>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</si>
  <si>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</si>
  <si>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</si>
  <si>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</si>
  <si>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</si>
  <si>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</si>
  <si>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</si>
  <si>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</si>
  <si>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</si>
  <si>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</si>
  <si>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</si>
  <si>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</si>
  <si>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</si>
  <si>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</si>
  <si>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</si>
  <si>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</si>
  <si>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</si>
  <si>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</si>
  <si>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</si>
  <si>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</si>
  <si>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</si>
  <si>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</si>
  <si>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</si>
  <si>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</si>
  <si>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</si>
  <si>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</si>
  <si>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</si>
  <si>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</si>
  <si>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</si>
  <si>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</si>
  <si>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</si>
  <si>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</si>
  <si>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</si>
  <si>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</si>
  <si>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</si>
  <si>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</si>
  <si>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</si>
  <si>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</si>
  <si>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</si>
  <si>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</si>
  <si>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</si>
  <si>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</si>
  <si>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</si>
  <si>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</si>
  <si>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</si>
  <si>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</si>
  <si>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</si>
  <si>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</si>
  <si>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</si>
  <si>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</si>
  <si>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</si>
  <si>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</si>
  <si>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</si>
  <si>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</si>
  <si>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</si>
  <si>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</si>
  <si>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</si>
  <si>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</si>
  <si>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</si>
  <si>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</si>
  <si>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</si>
  <si>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</si>
  <si>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</si>
  <si>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</si>
  <si>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</si>
  <si>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</si>
  <si>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</si>
  <si>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</si>
  <si>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</si>
  <si>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</si>
  <si>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</si>
  <si>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</si>
  <si>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</si>
  <si>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</si>
  <si>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</si>
  <si>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</si>
  <si>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</si>
  <si>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</si>
  <si>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</si>
  <si>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</si>
  <si>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</si>
  <si>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</si>
  <si>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</si>
  <si>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</si>
  <si>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</si>
  <si>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</si>
  <si>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</si>
  <si>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</si>
  <si>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</si>
  <si>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</si>
  <si>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</si>
  <si>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</si>
  <si>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</si>
  <si>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</si>
  <si>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</si>
  <si>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</si>
  <si>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</si>
  <si>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</si>
  <si>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</si>
  <si>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</si>
  <si>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</si>
  <si>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</si>
  <si>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</si>
  <si>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</si>
  <si>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</si>
  <si>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</si>
  <si>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</si>
  <si>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</si>
  <si>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</si>
  <si>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</si>
  <si>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</si>
  <si>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</si>
  <si>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</si>
  <si>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</si>
  <si>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</si>
  <si>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</si>
  <si>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</si>
  <si>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</si>
  <si>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</si>
  <si>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</si>
  <si>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</si>
  <si>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</si>
  <si>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</si>
  <si>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</si>
  <si>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</si>
  <si>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</si>
  <si>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</si>
  <si>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</si>
  <si>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</si>
  <si>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</si>
  <si>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</si>
  <si>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</si>
  <si>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</si>
  <si>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</si>
  <si>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</si>
  <si>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</si>
  <si>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</si>
  <si>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</si>
  <si>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</si>
  <si>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</si>
  <si>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</si>
  <si>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</si>
  <si>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</si>
  <si>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</si>
  <si>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</si>
  <si>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</si>
  <si>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</si>
  <si>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</si>
  <si>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</si>
  <si>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</si>
  <si>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</si>
  <si>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</si>
  <si>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</si>
  <si>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</si>
  <si>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</si>
  <si>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</si>
  <si>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</si>
  <si>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</si>
  <si>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</si>
  <si>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</si>
  <si>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</si>
  <si>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</si>
  <si>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</si>
  <si>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</si>
  <si>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</si>
  <si>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</si>
  <si>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</si>
  <si>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</si>
  <si>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</si>
  <si>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</si>
  <si>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</si>
  <si>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</si>
  <si>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</si>
  <si>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</si>
  <si>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</si>
  <si>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</si>
  <si>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</si>
  <si>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</si>
  <si>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</si>
  <si>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</si>
  <si>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</si>
  <si>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</si>
  <si>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</si>
  <si>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</si>
  <si>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</si>
  <si>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</si>
  <si>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</si>
  <si>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</si>
  <si>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</si>
  <si>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</si>
  <si>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</si>
  <si>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</si>
  <si>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</si>
  <si>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</si>
  <si>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</si>
  <si>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</si>
  <si>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</si>
  <si>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</si>
  <si>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</si>
  <si>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</si>
  <si>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</si>
  <si>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</si>
  <si>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</si>
  <si>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</si>
  <si>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</si>
  <si>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</si>
  <si>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</si>
  <si>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</si>
  <si>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</si>
  <si>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</si>
  <si>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</si>
  <si>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</si>
  <si>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</si>
  <si>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</si>
  <si>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</si>
  <si>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</si>
  <si>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</si>
  <si>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</si>
  <si>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</si>
  <si>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</si>
  <si>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</si>
  <si>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</si>
  <si>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</si>
  <si>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</si>
  <si>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</si>
  <si>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</si>
  <si>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</si>
  <si>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</si>
  <si>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</si>
  <si>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</si>
  <si>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</si>
  <si>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</si>
  <si>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</si>
  <si>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</si>
  <si>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</si>
  <si>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</si>
  <si>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</si>
  <si>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</si>
  <si>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</si>
  <si>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</si>
  <si>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</si>
  <si>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</si>
  <si>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</si>
  <si>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</si>
  <si>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</si>
  <si>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</si>
  <si>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</si>
  <si>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</si>
  <si>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</si>
  <si>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</si>
  <si>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</si>
  <si>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</si>
  <si>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</si>
  <si>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</si>
  <si>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</si>
  <si>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</si>
  <si>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</si>
  <si>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</si>
  <si>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</si>
  <si>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</si>
  <si>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</si>
  <si>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</si>
  <si>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</si>
  <si>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</si>
  <si>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</si>
  <si>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</si>
  <si>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</si>
  <si>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</si>
  <si>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</si>
  <si>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</si>
  <si>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</si>
  <si>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</si>
  <si>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</si>
  <si>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</si>
  <si>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</si>
  <si>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</si>
  <si>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</si>
  <si>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</si>
  <si>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</si>
  <si>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</si>
  <si>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</si>
  <si>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</si>
  <si>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</si>
  <si>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</si>
  <si>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</si>
  <si>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</si>
  <si>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</si>
  <si>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</si>
  <si>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</si>
  <si>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</si>
  <si>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</si>
  <si>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</si>
  <si>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</si>
  <si>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</si>
  <si>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</si>
  <si>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</si>
  <si>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</si>
  <si>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</si>
  <si>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</si>
  <si>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</si>
  <si>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</si>
  <si>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</si>
  <si>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</si>
  <si>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</si>
  <si>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</si>
  <si>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</si>
  <si>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</si>
  <si>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</si>
  <si>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</si>
  <si>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</si>
  <si>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</si>
  <si>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</si>
  <si>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</si>
  <si>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</si>
  <si>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</si>
  <si>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</si>
  <si>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</si>
  <si>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</si>
  <si>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</si>
  <si>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</si>
  <si>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</si>
  <si>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</si>
  <si>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</si>
  <si>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</si>
  <si>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</si>
  <si>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</si>
  <si>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</si>
  <si>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</si>
  <si>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</si>
  <si>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</si>
  <si>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</si>
  <si>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</si>
  <si>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</si>
  <si>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</si>
  <si>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</si>
  <si>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</si>
  <si>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</si>
  <si>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</si>
  <si>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</si>
  <si>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</si>
  <si>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</si>
  <si>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</si>
  <si>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</si>
  <si>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</si>
  <si>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</si>
  <si>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</si>
  <si>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</si>
  <si>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</si>
  <si>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</si>
  <si>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</si>
  <si>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</si>
  <si>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</si>
  <si>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</si>
  <si>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</si>
  <si>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</si>
  <si>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</si>
  <si>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</si>
  <si>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</si>
  <si>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</si>
  <si>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</si>
  <si>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</si>
  <si>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</si>
  <si>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</si>
  <si>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</si>
  <si>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</si>
  <si>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</si>
  <si>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</si>
  <si>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</si>
  <si>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</si>
  <si>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</si>
  <si>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</si>
  <si>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</si>
  <si>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</si>
  <si>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</si>
  <si>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</si>
  <si>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</si>
  <si>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</si>
  <si>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</si>
  <si>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</si>
  <si>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</si>
  <si>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</si>
  <si>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</si>
  <si>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</si>
  <si>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</si>
  <si>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</si>
  <si>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</si>
  <si>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</si>
  <si>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</si>
  <si>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</si>
  <si>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</si>
  <si>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</si>
  <si>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</si>
  <si>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</si>
  <si>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</si>
  <si>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</si>
  <si>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</si>
  <si>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</si>
  <si>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</si>
  <si>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</si>
  <si>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</si>
  <si>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</si>
  <si>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</si>
  <si>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</si>
  <si>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</si>
  <si>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</si>
  <si>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</si>
  <si>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</si>
  <si>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</si>
  <si>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</si>
  <si>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</si>
  <si>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</si>
  <si>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</si>
  <si>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</si>
  <si>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</si>
  <si>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</si>
  <si>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</si>
  <si>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</si>
  <si>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</si>
  <si>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</si>
  <si>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</si>
  <si>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</si>
  <si>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</si>
  <si>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</si>
  <si>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</si>
  <si>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</si>
  <si>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</si>
  <si>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</si>
  <si>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</si>
  <si>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</si>
  <si>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</si>
  <si>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</si>
  <si>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</si>
  <si>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</si>
  <si>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</si>
  <si>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</si>
  <si>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</si>
  <si>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</si>
  <si>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</si>
  <si>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</si>
  <si>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</si>
  <si>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</si>
  <si>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</si>
  <si>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</si>
  <si>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</si>
  <si>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</si>
  <si>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</si>
  <si>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</si>
  <si>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</si>
  <si>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</si>
  <si>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</si>
  <si>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</si>
  <si>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</si>
  <si>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</si>
  <si>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</si>
  <si>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</si>
  <si>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</si>
  <si>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</si>
  <si>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</si>
  <si>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</si>
  <si>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</si>
  <si>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</si>
  <si>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</si>
  <si>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</si>
  <si>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</si>
  <si>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</si>
  <si>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</si>
  <si>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</si>
  <si>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</si>
  <si>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</si>
  <si>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</si>
  <si>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</si>
  <si>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</si>
  <si>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</si>
  <si>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</si>
  <si>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</si>
  <si>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</si>
  <si>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</si>
  <si>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</si>
  <si>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</si>
  <si>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</si>
  <si>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</si>
  <si>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</si>
  <si>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</si>
  <si>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</si>
  <si>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</si>
  <si>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</si>
  <si>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</si>
  <si>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</si>
  <si>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</si>
  <si>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</si>
  <si>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</si>
  <si>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</si>
  <si>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</si>
  <si>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</si>
  <si>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</si>
  <si>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</si>
  <si>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</si>
  <si>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</si>
  <si>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</si>
  <si>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</si>
  <si>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</si>
  <si>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</si>
  <si>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</si>
  <si>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</si>
  <si>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</si>
  <si>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</si>
  <si>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</si>
  <si>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</si>
  <si>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</si>
  <si>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</si>
  <si>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</si>
  <si>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</si>
  <si>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</si>
  <si>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</si>
  <si>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</si>
  <si>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</si>
  <si>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</si>
  <si>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</si>
  <si>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</si>
  <si>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</si>
  <si>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</si>
  <si>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</si>
  <si>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</si>
  <si>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</si>
  <si>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</si>
  <si>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</si>
  <si>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</si>
  <si>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</si>
  <si>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</si>
  <si>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</si>
  <si>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</si>
  <si>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</si>
  <si>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</si>
  <si>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</si>
  <si>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</si>
  <si>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</si>
  <si>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</si>
  <si>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</si>
  <si>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</si>
  <si>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</si>
  <si>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</si>
  <si>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</si>
  <si>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</si>
  <si>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</si>
  <si>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</si>
  <si>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</si>
  <si>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</si>
  <si>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</si>
  <si>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</si>
  <si>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</si>
  <si>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</si>
  <si>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</si>
  <si>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</si>
  <si>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</si>
  <si>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</si>
  <si>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</si>
  <si>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</si>
  <si>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</si>
  <si>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</si>
  <si>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</si>
  <si>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</si>
  <si>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</si>
  <si>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</si>
  <si>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</si>
  <si>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</si>
  <si>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</si>
  <si>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</si>
  <si>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</si>
  <si>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</si>
  <si>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</si>
  <si>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</si>
  <si>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</si>
  <si>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</si>
  <si>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</si>
  <si>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</si>
  <si>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</si>
  <si>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</si>
  <si>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</si>
  <si>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</si>
  <si>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</si>
  <si>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</si>
  <si>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</si>
  <si>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</si>
  <si>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</si>
  <si>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</si>
  <si>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</si>
  <si>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</si>
  <si>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</si>
  <si>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</si>
  <si>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</si>
  <si>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</si>
  <si>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</si>
  <si>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</si>
  <si>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</si>
  <si>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</si>
  <si>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</si>
  <si>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</si>
  <si>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</si>
  <si>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</si>
  <si>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</si>
  <si>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</si>
  <si>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</si>
  <si>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</si>
  <si>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</si>
  <si>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</si>
  <si>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</si>
  <si>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</si>
  <si>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</si>
  <si>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</si>
  <si>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</si>
  <si>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</si>
  <si>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</si>
  <si>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</si>
  <si>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</si>
  <si>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</si>
  <si>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</si>
  <si>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</si>
  <si>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</si>
  <si>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</si>
  <si>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</si>
  <si>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</si>
  <si>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</si>
  <si>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</si>
  <si>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</si>
  <si>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</si>
  <si>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</si>
  <si>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</si>
  <si>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</si>
  <si>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</si>
  <si>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</si>
  <si>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</si>
  <si>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</si>
  <si>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</si>
  <si>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</si>
  <si>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</si>
  <si>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</si>
  <si>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</si>
  <si>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</si>
  <si>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</si>
  <si>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</si>
  <si>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</si>
  <si>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</si>
  <si>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</si>
  <si>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</si>
  <si>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</si>
  <si>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</si>
  <si>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</si>
  <si>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</si>
  <si>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</si>
  <si>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</si>
  <si>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</si>
  <si>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</si>
  <si>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</si>
  <si>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</si>
  <si>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</si>
  <si>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</si>
  <si>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</si>
  <si>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</si>
  <si>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</si>
  <si>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</si>
  <si>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</si>
  <si>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</si>
  <si>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</si>
  <si>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</si>
  <si>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</si>
  <si>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</si>
  <si>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</si>
  <si>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</si>
  <si>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</si>
  <si>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</si>
  <si>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</si>
  <si>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</si>
  <si>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</si>
  <si>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</si>
  <si>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</si>
  <si>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</si>
  <si>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</si>
  <si>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</si>
  <si>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</si>
  <si>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</si>
  <si>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</si>
  <si>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</si>
  <si>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</si>
  <si>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</si>
  <si>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</si>
  <si>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</si>
  <si>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</si>
  <si>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</si>
  <si>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</si>
  <si>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</si>
  <si>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</si>
  <si>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</si>
  <si>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</si>
  <si>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</si>
  <si>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</si>
  <si>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</si>
  <si>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</si>
  <si>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</si>
  <si>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</si>
  <si>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</si>
  <si>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</si>
  <si>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</si>
  <si>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</si>
  <si>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</si>
  <si>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</si>
  <si>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</si>
  <si>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</si>
  <si>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</si>
  <si>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</si>
  <si>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</si>
  <si>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</si>
  <si>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</si>
  <si>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</si>
  <si>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</si>
  <si>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</si>
  <si>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</si>
  <si>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</si>
  <si>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</si>
  <si>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</si>
  <si>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</si>
  <si>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</si>
  <si>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</si>
  <si>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</si>
  <si>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</si>
  <si>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</si>
  <si>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</si>
  <si>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</si>
  <si>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</si>
  <si>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</si>
  <si>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</si>
  <si>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</si>
  <si>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</si>
  <si>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</si>
  <si>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</si>
  <si>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</si>
  <si>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</si>
  <si>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</si>
  <si>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</si>
  <si>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</si>
  <si>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</si>
  <si>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</si>
  <si>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</si>
  <si>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</si>
  <si>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</si>
  <si>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</si>
  <si>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</si>
  <si>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</si>
  <si>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</si>
  <si>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</si>
  <si>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</si>
  <si>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</si>
  <si>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</si>
  <si>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</si>
  <si>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</si>
  <si>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</si>
  <si>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</si>
  <si>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</si>
  <si>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</si>
  <si>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</si>
  <si>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</si>
  <si>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</si>
  <si>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</si>
  <si>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</si>
  <si>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</si>
  <si>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</si>
  <si>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</si>
  <si>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</si>
  <si>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</si>
  <si>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</si>
  <si>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</si>
  <si>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</si>
  <si>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</si>
  <si>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</si>
  <si>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</si>
  <si>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</si>
  <si>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</si>
  <si>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</si>
  <si>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</si>
  <si>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</si>
  <si>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</si>
  <si>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</si>
  <si>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</si>
  <si>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</si>
  <si>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</si>
  <si>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</si>
  <si>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</si>
  <si>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</si>
  <si>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</si>
  <si>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</si>
  <si>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</si>
  <si>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</si>
  <si>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</si>
  <si>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</si>
  <si>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</si>
  <si>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</si>
  <si>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</si>
  <si>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</si>
  <si>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</si>
  <si>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</si>
  <si>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</si>
  <si>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</si>
  <si>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</si>
  <si>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</si>
  <si>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</si>
  <si>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</si>
  <si>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</si>
  <si>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</si>
  <si>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</si>
  <si>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</si>
  <si>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</si>
  <si>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</si>
  <si>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</si>
  <si>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</si>
  <si>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</si>
  <si>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</si>
  <si>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</si>
  <si>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</si>
  <si>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</si>
  <si>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</si>
  <si>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</si>
  <si>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</si>
  <si>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</si>
  <si>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</si>
  <si>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</si>
  <si>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</si>
  <si>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</si>
  <si>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</si>
  <si>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</si>
  <si>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</si>
  <si>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</si>
  <si>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</si>
  <si>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</si>
  <si>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</si>
  <si>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</si>
  <si>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</si>
  <si>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</si>
  <si>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</si>
  <si>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</si>
  <si>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</si>
  <si>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</si>
  <si>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</si>
  <si>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</si>
  <si>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</si>
  <si>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</si>
  <si>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</si>
  <si>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</si>
  <si>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</si>
  <si>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</si>
  <si>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</si>
  <si>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</si>
  <si>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</si>
  <si>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</si>
  <si>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</si>
  <si>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</si>
  <si>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</si>
  <si>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</si>
  <si>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</si>
  <si>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</si>
  <si>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</si>
  <si>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</si>
  <si>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</si>
  <si>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</si>
  <si>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</si>
  <si>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</si>
  <si>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</si>
  <si>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</si>
  <si>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</si>
  <si>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</si>
  <si>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</si>
  <si>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</si>
  <si>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</si>
  <si>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</si>
  <si>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</si>
  <si>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</si>
  <si>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</si>
  <si>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</si>
  <si>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</si>
  <si>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</si>
  <si>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</si>
  <si>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</si>
  <si>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</si>
  <si>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</si>
  <si>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</si>
  <si>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</si>
  <si>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</si>
  <si>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</si>
  <si>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</si>
  <si>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</si>
  <si>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</si>
  <si>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</si>
  <si>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</si>
  <si>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</si>
  <si>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</si>
  <si>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</si>
  <si>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</si>
  <si>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</si>
  <si>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</si>
  <si>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</si>
  <si>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</si>
  <si>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</si>
  <si>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</si>
  <si>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</si>
  <si>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</si>
  <si>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</si>
  <si>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</si>
  <si>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</si>
  <si>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</si>
  <si>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</si>
  <si>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</si>
  <si>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</si>
  <si>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</si>
  <si>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</si>
  <si>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</si>
  <si>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</si>
  <si>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</si>
  <si>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</si>
  <si>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</si>
  <si>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</si>
  <si>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</si>
  <si>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</si>
  <si>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</si>
  <si>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</si>
  <si>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</si>
  <si>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</si>
  <si>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</si>
  <si>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</si>
  <si>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</si>
  <si>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</si>
  <si>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</si>
  <si>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</si>
  <si>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</si>
  <si>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</si>
  <si>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</si>
  <si>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</si>
  <si>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</si>
  <si>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</si>
  <si>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</si>
  <si>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</si>
  <si>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</si>
  <si>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</si>
  <si>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</si>
  <si>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</si>
  <si>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</si>
  <si>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</si>
  <si>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</si>
  <si>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</si>
  <si>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</si>
  <si>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</si>
  <si>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</si>
  <si>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</si>
  <si>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</si>
  <si>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</si>
  <si>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</si>
  <si>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</si>
  <si>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</si>
  <si>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</si>
  <si>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</si>
  <si>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</si>
  <si>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</si>
  <si>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</si>
  <si>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</si>
  <si>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</si>
  <si>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</si>
  <si>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</si>
  <si>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</si>
  <si>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</si>
  <si>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</si>
  <si>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</si>
  <si>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</si>
  <si>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</si>
  <si>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</si>
  <si>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</si>
  <si>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</si>
  <si>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</si>
  <si>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</si>
  <si>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</si>
  <si>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</si>
  <si>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</si>
  <si>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</si>
  <si>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</si>
  <si>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</si>
  <si>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</si>
  <si>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</si>
  <si>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</si>
  <si>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</si>
  <si>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</si>
  <si>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</si>
  <si>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</si>
  <si>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</si>
  <si>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</si>
  <si>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</si>
  <si>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</si>
  <si>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</si>
  <si>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</si>
  <si>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</si>
  <si>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</si>
  <si>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</si>
  <si>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</si>
  <si>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</si>
  <si>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</si>
  <si>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</si>
  <si>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</si>
  <si>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</si>
  <si>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</si>
  <si>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</si>
  <si>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</si>
  <si>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</si>
  <si>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</si>
  <si>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</si>
  <si>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</si>
  <si>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</si>
  <si>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</si>
  <si>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</si>
  <si>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</si>
  <si>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</si>
  <si>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</si>
  <si>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</si>
  <si>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</si>
  <si>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</si>
  <si>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</si>
  <si>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</si>
  <si>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</si>
  <si>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</si>
  <si>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</si>
  <si>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</si>
  <si>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</si>
  <si>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</si>
  <si>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</si>
  <si>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</si>
  <si>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</si>
  <si>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</si>
  <si>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</si>
  <si>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</si>
  <si>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</si>
  <si>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</si>
  <si>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</si>
  <si>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</si>
  <si>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</si>
  <si>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</si>
  <si>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</si>
  <si>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</si>
  <si>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</si>
  <si>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</si>
  <si>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</si>
  <si>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</si>
  <si>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</si>
  <si>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</si>
  <si>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</si>
  <si>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</si>
  <si>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</si>
  <si>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</si>
  <si>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</si>
  <si>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</si>
  <si>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</si>
  <si>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</si>
  <si>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</si>
  <si>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</si>
  <si>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</si>
  <si>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</si>
  <si>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</si>
  <si>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</si>
  <si>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</si>
  <si>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</si>
  <si>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</si>
  <si>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</si>
  <si>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</si>
  <si>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</si>
  <si>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</si>
  <si>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</si>
  <si>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</si>
  <si>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</si>
  <si>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</si>
  <si>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</si>
  <si>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</si>
  <si>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</si>
  <si>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</si>
  <si>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</si>
  <si>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</si>
  <si>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</si>
  <si>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</si>
  <si>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</si>
  <si>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</si>
  <si>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</si>
  <si>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</si>
  <si>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</si>
  <si>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</si>
  <si>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</si>
  <si>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</si>
  <si>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</si>
  <si>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</si>
  <si>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</si>
  <si>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</si>
  <si>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</si>
  <si>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</si>
  <si>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</si>
  <si>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</si>
  <si>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</si>
  <si>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</si>
  <si>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</si>
  <si>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</si>
  <si>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</si>
  <si>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</si>
  <si>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</si>
  <si>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</si>
  <si>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</si>
  <si>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</si>
  <si>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</si>
  <si>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</si>
  <si>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</si>
  <si>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</si>
  <si>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</si>
  <si>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</si>
  <si>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</si>
  <si>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</si>
  <si>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</si>
  <si>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</si>
  <si>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</si>
  <si>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</si>
  <si>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</si>
  <si>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</si>
  <si>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</si>
  <si>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</si>
  <si>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</si>
  <si>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</si>
  <si>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</si>
  <si>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</si>
  <si>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</si>
  <si>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</si>
  <si>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</si>
  <si>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</si>
  <si>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</si>
  <si>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</si>
  <si>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</si>
  <si>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</si>
  <si>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</si>
  <si>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</si>
  <si>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</si>
  <si>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</si>
  <si>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</si>
  <si>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</si>
  <si>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</si>
  <si>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</si>
  <si>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</si>
  <si>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</si>
  <si>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</si>
  <si>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</si>
  <si>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</si>
  <si>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</si>
  <si>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</si>
  <si>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</si>
  <si>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</si>
  <si>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</si>
  <si>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</si>
  <si>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</si>
  <si>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</si>
  <si>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</si>
  <si>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</si>
  <si>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</si>
  <si>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</si>
  <si>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</si>
  <si>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</si>
  <si>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</si>
  <si>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</si>
  <si>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</si>
  <si>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</si>
  <si>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</si>
  <si>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</si>
  <si>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</si>
  <si>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</si>
  <si>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</si>
  <si>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</si>
  <si>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</si>
  <si>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</si>
  <si>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</si>
  <si>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</si>
  <si>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</si>
  <si>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</si>
  <si>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</si>
  <si>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</si>
  <si>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</si>
  <si>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</si>
  <si>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</si>
  <si>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</si>
  <si>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</si>
  <si>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</si>
  <si>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</si>
  <si>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</si>
  <si>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</si>
  <si>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</si>
  <si>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</si>
  <si>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</si>
  <si>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</si>
  <si>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</si>
  <si>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</si>
  <si>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</si>
  <si>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</si>
  <si>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</si>
  <si>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</si>
  <si>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</si>
  <si>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</si>
  <si>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</si>
  <si>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</si>
  <si>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</si>
  <si>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</si>
  <si>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</si>
  <si>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</si>
  <si>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</si>
  <si>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</si>
  <si>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</si>
  <si>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</si>
  <si>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</si>
  <si>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</si>
  <si>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</si>
  <si>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</si>
  <si>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</si>
  <si>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</si>
  <si>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</si>
  <si>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</si>
  <si>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</si>
  <si>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</si>
  <si>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</si>
  <si>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</si>
  <si>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</si>
  <si>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</si>
  <si>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</si>
  <si>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</si>
  <si>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</si>
  <si>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</si>
  <si>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</si>
  <si>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</si>
  <si>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</si>
  <si>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</si>
  <si>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</si>
  <si>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</si>
  <si>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</si>
  <si>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</si>
  <si>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</si>
  <si>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</si>
  <si>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</si>
  <si>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</si>
  <si>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</si>
  <si>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</si>
  <si>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</si>
  <si>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</si>
  <si>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</si>
  <si>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</si>
  <si>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</si>
  <si>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</si>
  <si>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</si>
  <si>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</si>
  <si>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</si>
  <si>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</si>
  <si>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</si>
  <si>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</si>
  <si>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</si>
  <si>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</si>
  <si>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</si>
  <si>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</si>
  <si>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</si>
  <si>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</si>
  <si>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</si>
  <si>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</si>
  <si>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</si>
  <si>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</si>
  <si>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</si>
  <si>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</si>
  <si>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</si>
  <si>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</si>
  <si>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</si>
  <si>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</si>
  <si>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</si>
  <si>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</si>
  <si>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</si>
  <si>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</si>
  <si>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</si>
  <si>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</si>
  <si>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</si>
  <si>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</si>
  <si>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</si>
  <si>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</si>
  <si>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</si>
  <si>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</si>
  <si>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</si>
  <si>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</si>
  <si>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</si>
  <si>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</si>
  <si>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</si>
  <si>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</si>
  <si>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</si>
  <si>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</si>
  <si>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</si>
  <si>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</si>
  <si>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</si>
  <si>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</si>
  <si>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</si>
  <si>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</si>
  <si>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</si>
  <si>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</si>
  <si>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</si>
  <si>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</si>
  <si>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</si>
  <si>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</si>
  <si>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</si>
  <si>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</si>
  <si>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</si>
  <si>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</si>
  <si>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</si>
  <si>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</si>
  <si>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</si>
  <si>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</si>
  <si>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</si>
  <si>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</si>
  <si>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</si>
  <si>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</si>
  <si>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</si>
  <si>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</si>
  <si>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</si>
  <si>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</si>
  <si>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</si>
  <si>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</si>
  <si>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</si>
  <si>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</si>
  <si>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</si>
  <si>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</si>
  <si>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</si>
  <si>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</si>
  <si>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</si>
  <si>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</si>
  <si>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</si>
  <si>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</si>
  <si>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</si>
  <si>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</si>
  <si>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</si>
  <si>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</si>
  <si>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</si>
  <si>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</si>
  <si>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</si>
  <si>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</si>
  <si>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</si>
  <si>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</si>
  <si>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</si>
  <si>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</si>
  <si>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</si>
  <si>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</si>
  <si>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</si>
  <si>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</si>
  <si>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</si>
  <si>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</si>
  <si>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</si>
  <si>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</si>
  <si>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</si>
  <si>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</si>
  <si>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</si>
  <si>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</si>
  <si>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</si>
  <si>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</si>
  <si>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</si>
  <si>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</si>
  <si>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</si>
  <si>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</si>
  <si>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</si>
  <si>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</si>
  <si>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</si>
  <si>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</si>
  <si>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</si>
  <si>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</si>
  <si>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</si>
  <si>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</si>
  <si>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</si>
  <si>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</si>
  <si>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</si>
  <si>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</si>
  <si>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</si>
  <si>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</si>
  <si>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</si>
  <si>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</si>
  <si>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</si>
  <si>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</si>
  <si>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</si>
  <si>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</si>
  <si>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</si>
  <si>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</si>
  <si>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</si>
  <si>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</si>
  <si>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</si>
  <si>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</si>
  <si>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</si>
  <si>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</si>
  <si>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</si>
  <si>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</si>
  <si>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</si>
  <si>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</si>
  <si>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</si>
  <si>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</si>
  <si>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</si>
  <si>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</si>
  <si>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</si>
  <si>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</si>
  <si>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</si>
  <si>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</si>
  <si>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</si>
  <si>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</si>
  <si>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</si>
  <si>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</si>
  <si>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</si>
  <si>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</si>
  <si>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</si>
  <si>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</si>
  <si>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</si>
  <si>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</si>
  <si>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</si>
  <si>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</si>
  <si>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</si>
  <si>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</si>
  <si>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</si>
  <si>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</si>
  <si>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</si>
  <si>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</si>
  <si>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</si>
  <si>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</si>
  <si>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</si>
  <si>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</si>
  <si>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</si>
  <si>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</si>
  <si>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</si>
  <si>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</si>
  <si>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</si>
  <si>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</si>
  <si>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</si>
  <si>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</si>
  <si>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</si>
  <si>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</si>
  <si>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</si>
  <si>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</si>
  <si>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</si>
  <si>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</si>
  <si>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</si>
  <si>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</si>
  <si>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</si>
  <si>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</si>
  <si>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</si>
  <si>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</si>
  <si>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</si>
  <si>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</si>
  <si>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</si>
  <si>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</si>
  <si>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</si>
  <si>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</si>
  <si>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</si>
  <si>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</si>
  <si>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</si>
  <si>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</si>
  <si>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</si>
  <si>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</si>
  <si>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</si>
  <si>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</si>
  <si>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</si>
  <si>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</si>
  <si>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</si>
  <si>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</si>
  <si>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</si>
  <si>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</si>
  <si>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</si>
  <si>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</si>
  <si>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</si>
  <si>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</si>
  <si>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</si>
  <si>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</si>
  <si>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</si>
  <si>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</si>
  <si>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</si>
  <si>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</si>
  <si>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</si>
  <si>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</si>
  <si>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</si>
  <si>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</si>
  <si>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</si>
  <si>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</si>
  <si>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</si>
  <si>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</si>
  <si>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</si>
  <si>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</si>
  <si>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</si>
  <si>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</si>
  <si>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</si>
  <si>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</si>
  <si>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</si>
  <si>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</si>
  <si>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</si>
  <si>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</si>
  <si>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</si>
  <si>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</si>
  <si>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</si>
  <si>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</si>
  <si>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</si>
  <si>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</si>
  <si>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</si>
  <si>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</si>
  <si>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</si>
  <si>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</si>
  <si>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</si>
  <si>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</si>
  <si>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</si>
  <si>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</si>
  <si>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</si>
  <si>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</si>
  <si>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</si>
  <si>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</si>
  <si>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</si>
  <si>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</si>
  <si>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</si>
  <si>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</si>
  <si>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</si>
  <si>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</si>
  <si>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</si>
  <si>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</si>
  <si>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</si>
  <si>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</si>
  <si>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</si>
  <si>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</si>
  <si>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</si>
  <si>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</si>
  <si>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</si>
  <si>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</si>
  <si>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</si>
  <si>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</si>
  <si>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</si>
  <si>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</si>
  <si>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</si>
  <si>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</si>
  <si>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</si>
  <si>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</si>
  <si>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</si>
  <si>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</si>
  <si>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</si>
  <si>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</si>
  <si>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</si>
  <si>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</si>
  <si>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</si>
  <si>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</si>
  <si>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</si>
  <si>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</si>
  <si>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</si>
  <si>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</si>
  <si>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</si>
  <si>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</si>
  <si>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</si>
  <si>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</si>
  <si>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</si>
  <si>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</si>
  <si>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</si>
  <si>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</si>
  <si>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</si>
  <si>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</si>
  <si>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</si>
  <si>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</si>
  <si>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</si>
  <si>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</si>
  <si>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</si>
  <si>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</si>
  <si>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</si>
  <si>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</si>
  <si>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</si>
  <si>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</si>
  <si>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</si>
  <si>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</si>
  <si>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</si>
  <si>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</si>
  <si>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</si>
  <si>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</si>
  <si>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</si>
  <si>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</si>
  <si>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</si>
  <si>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</si>
  <si>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</si>
  <si>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</si>
  <si>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</si>
  <si>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</si>
  <si>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</si>
  <si>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</si>
  <si>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</si>
  <si>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</si>
  <si>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</si>
  <si>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</si>
  <si>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</si>
  <si>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</si>
  <si>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</si>
  <si>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</si>
  <si>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</si>
  <si>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</si>
  <si>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</si>
  <si>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</si>
  <si>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</si>
  <si>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</si>
  <si>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</si>
  <si>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</si>
  <si>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</si>
  <si>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</si>
  <si>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</si>
  <si>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</si>
  <si>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</si>
  <si>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</si>
  <si>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</si>
  <si>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</si>
  <si>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</si>
  <si>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</si>
  <si>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</si>
  <si>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</si>
  <si>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</si>
  <si>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</si>
  <si>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</si>
  <si>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</si>
  <si>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</si>
  <si>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</si>
  <si>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</si>
  <si>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</si>
  <si>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</si>
  <si>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</si>
  <si>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</si>
  <si>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</si>
  <si>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</si>
  <si>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</si>
  <si>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</si>
  <si>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</si>
  <si>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</si>
  <si>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</si>
  <si>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</si>
  <si>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</si>
  <si>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</si>
  <si>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</si>
  <si>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</si>
  <si>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</si>
  <si>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</si>
  <si>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</si>
  <si>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</si>
  <si>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</si>
  <si>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</si>
  <si>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</si>
  <si>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</si>
  <si>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</si>
  <si>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</si>
  <si>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</si>
  <si>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</si>
  <si>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</si>
  <si>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</si>
  <si>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</si>
  <si>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</si>
  <si>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</si>
  <si>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</si>
  <si>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</si>
  <si>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</si>
  <si>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</si>
  <si>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</si>
  <si>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</si>
  <si>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</si>
  <si>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</si>
  <si>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</si>
  <si>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</si>
  <si>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</si>
  <si>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</si>
  <si>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</si>
  <si>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</si>
  <si>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</si>
  <si>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</si>
  <si>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</si>
  <si>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</si>
  <si>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</si>
  <si>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</si>
  <si>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</si>
  <si>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</si>
  <si>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</si>
  <si>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</si>
  <si>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</si>
  <si>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</si>
  <si>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</si>
  <si>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</si>
  <si>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</si>
  <si>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</si>
  <si>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</si>
  <si>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</si>
  <si>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</si>
  <si>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</si>
  <si>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</si>
  <si>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</si>
  <si>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</si>
  <si>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</si>
  <si>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</si>
  <si>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</si>
  <si>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</si>
  <si>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</si>
  <si>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</si>
  <si>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</si>
  <si>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</si>
  <si>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</si>
  <si>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</si>
  <si>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</si>
  <si>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</si>
  <si>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</si>
  <si>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</si>
  <si>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</si>
  <si>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</si>
  <si>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</si>
  <si>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</si>
  <si>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</si>
  <si>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</si>
  <si>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</si>
  <si>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</si>
  <si>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</si>
  <si>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</si>
  <si>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</si>
  <si>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</si>
  <si>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</si>
  <si>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</si>
  <si>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</si>
  <si>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</si>
  <si>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</si>
  <si>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</si>
  <si>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</si>
  <si>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</si>
  <si>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</si>
  <si>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</si>
  <si>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</si>
  <si>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</si>
  <si>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</si>
  <si>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</si>
  <si>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</si>
  <si>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</si>
  <si>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</si>
  <si>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</si>
  <si>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</si>
  <si>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</si>
  <si>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</si>
  <si>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</si>
  <si>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</si>
  <si>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</si>
  <si>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</si>
  <si>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</si>
  <si>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</si>
  <si>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</si>
  <si>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</si>
  <si>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</si>
  <si>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</si>
  <si>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</si>
  <si>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</si>
  <si>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</si>
  <si>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</si>
  <si>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</si>
  <si>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</si>
  <si>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</si>
  <si>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</si>
  <si>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</si>
  <si>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</si>
  <si>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</si>
  <si>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</si>
  <si>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</si>
  <si>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</si>
  <si>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</si>
  <si>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</si>
  <si>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</si>
  <si>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</si>
  <si>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</si>
  <si>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</si>
  <si>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</si>
  <si>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</si>
  <si>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</si>
  <si>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</si>
  <si>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</si>
  <si>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</si>
  <si>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</si>
  <si>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</si>
  <si>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</si>
  <si>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</si>
  <si>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</si>
  <si>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</si>
  <si>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</si>
  <si>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</si>
  <si>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</si>
  <si>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</si>
  <si>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</si>
  <si>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</si>
  <si>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</si>
  <si>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</si>
  <si>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</si>
  <si>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</si>
  <si>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</si>
  <si>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</si>
  <si>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</si>
  <si>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</si>
  <si>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</si>
  <si>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</si>
  <si>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</si>
  <si>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</si>
  <si>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</si>
  <si>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</si>
  <si>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</si>
  <si>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</si>
  <si>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</si>
  <si>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</si>
  <si>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</si>
  <si>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</si>
  <si>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</si>
  <si>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</si>
  <si>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</si>
  <si>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</si>
  <si>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</si>
  <si>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</si>
  <si>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</si>
  <si>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</si>
  <si>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</si>
  <si>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</si>
  <si>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</si>
  <si>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</si>
  <si>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</si>
  <si>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</si>
  <si>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</si>
  <si>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</si>
  <si>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</si>
  <si>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</si>
  <si>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</si>
  <si>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</si>
  <si>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</si>
  <si>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</si>
  <si>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</si>
  <si>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</si>
  <si>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</si>
  <si>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</si>
  <si>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</si>
  <si>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</si>
  <si>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</si>
  <si>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</si>
  <si>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</si>
  <si>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</si>
  <si>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</si>
  <si>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</si>
  <si>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</si>
  <si>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</si>
  <si>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</si>
  <si>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</si>
  <si>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</si>
  <si>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</si>
  <si>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</si>
  <si>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</si>
  <si>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</si>
  <si>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</si>
  <si>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</si>
  <si>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</si>
  <si>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</si>
  <si>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</si>
  <si>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</si>
  <si>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</si>
  <si>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</si>
  <si>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</si>
  <si>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</si>
  <si>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</si>
  <si>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</si>
  <si>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</si>
  <si>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</si>
  <si>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</si>
  <si>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</si>
  <si>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</si>
  <si>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</si>
  <si>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</si>
  <si>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</si>
  <si>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</si>
  <si>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</si>
  <si>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</si>
  <si>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</si>
  <si>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</si>
  <si>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</si>
  <si>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</si>
  <si>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</si>
  <si>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</si>
  <si>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</si>
  <si>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</si>
  <si>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</si>
  <si>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</si>
  <si>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</si>
  <si>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</si>
  <si>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</si>
  <si>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</si>
  <si>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</si>
  <si>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</si>
  <si>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</si>
  <si>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</si>
  <si>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</si>
  <si>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</si>
  <si>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</si>
  <si>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</si>
  <si>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</si>
  <si>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</si>
  <si>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</si>
  <si>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</si>
  <si>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</si>
  <si>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</si>
  <si>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</si>
  <si>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</si>
  <si>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</si>
  <si>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</si>
  <si>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</si>
  <si>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</si>
  <si>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</si>
  <si>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</si>
  <si>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</si>
  <si>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</si>
  <si>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</si>
  <si>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</si>
  <si>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</si>
  <si>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</si>
  <si>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</si>
  <si>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</si>
  <si>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</si>
  <si>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</si>
  <si>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</si>
  <si>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</si>
  <si>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</si>
  <si>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</si>
  <si>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</si>
  <si>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</si>
  <si>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</si>
  <si>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</si>
  <si>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</si>
  <si>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</si>
  <si>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</si>
  <si>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</si>
  <si>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</si>
  <si>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</si>
  <si>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</si>
  <si>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</si>
  <si>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</si>
  <si>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</si>
  <si>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</si>
  <si>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</si>
  <si>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</si>
  <si>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</si>
  <si>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</si>
  <si>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</si>
  <si>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</si>
  <si>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</si>
  <si>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</si>
  <si>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</si>
  <si>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</si>
  <si>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</si>
  <si>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</si>
  <si>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</si>
  <si>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</si>
  <si>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</si>
  <si>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</si>
  <si>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</si>
  <si>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</si>
  <si>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</si>
  <si>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</si>
  <si>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</si>
  <si>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</si>
  <si>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</si>
  <si>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</si>
  <si>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</si>
  <si>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</si>
  <si>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</si>
  <si>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</si>
  <si>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</si>
  <si>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</si>
  <si>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</si>
  <si>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</si>
  <si>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</si>
  <si>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</si>
  <si>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</si>
  <si>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</si>
  <si>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</si>
  <si>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</si>
  <si>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</si>
  <si>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</si>
  <si>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</si>
  <si>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</si>
  <si>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</si>
  <si>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</si>
  <si>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</si>
  <si>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</si>
  <si>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</si>
  <si>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</si>
  <si>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</si>
  <si>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</si>
  <si>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</si>
  <si>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</si>
  <si>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</si>
  <si>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</si>
  <si>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</si>
  <si>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</si>
  <si>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</si>
  <si>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</si>
  <si>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</si>
  <si>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</si>
  <si>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</si>
  <si>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</si>
  <si>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</si>
  <si>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</si>
  <si>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</si>
  <si>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</si>
  <si>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</si>
  <si>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</si>
  <si>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</si>
  <si>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</si>
  <si>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</si>
  <si>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</si>
  <si>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</si>
  <si>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</si>
  <si>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</si>
  <si>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</si>
  <si>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</si>
  <si>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</si>
  <si>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</si>
  <si>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</si>
  <si>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</si>
  <si>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</si>
  <si>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</si>
  <si>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</si>
  <si>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</si>
  <si>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</si>
  <si>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</si>
  <si>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</si>
  <si>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</si>
  <si>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</si>
  <si>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</si>
  <si>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</si>
  <si>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</si>
  <si>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</si>
  <si>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</si>
  <si>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</si>
  <si>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</si>
  <si>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</si>
  <si>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</si>
  <si>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</si>
  <si>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</si>
  <si>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</si>
  <si>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</si>
  <si>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</si>
  <si>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</si>
  <si>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</si>
  <si>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</si>
  <si>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</si>
  <si>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</si>
  <si>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</si>
  <si>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</si>
  <si>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</si>
  <si>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</si>
  <si>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</si>
  <si>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</si>
  <si>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</si>
  <si>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</si>
  <si>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</si>
  <si>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</si>
  <si>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</si>
  <si>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</si>
  <si>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</si>
  <si>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</si>
  <si>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</si>
  <si>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</si>
  <si>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</si>
  <si>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</si>
  <si>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</si>
  <si>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</si>
  <si>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</si>
  <si>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</si>
  <si>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</si>
  <si>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</si>
  <si>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</si>
  <si>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</si>
  <si>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</si>
  <si>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</si>
  <si>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</si>
  <si>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</si>
  <si>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</si>
  <si>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</si>
  <si>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</si>
  <si>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</si>
  <si>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</si>
  <si>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</si>
  <si>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</si>
  <si>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</si>
  <si>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</si>
  <si>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</si>
  <si>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</si>
  <si>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</si>
  <si>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</si>
  <si>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</si>
  <si>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</si>
  <si>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</si>
  <si>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</si>
  <si>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</si>
  <si>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</si>
  <si>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</si>
  <si>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</si>
  <si>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</si>
  <si>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</si>
  <si>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</si>
  <si>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</si>
  <si>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</si>
  <si>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</si>
  <si>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</si>
  <si>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</si>
  <si>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</si>
  <si>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</si>
  <si>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</si>
  <si>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</si>
  <si>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</si>
  <si>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</si>
  <si>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</si>
  <si>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</si>
  <si>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</si>
  <si>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</si>
  <si>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</si>
  <si>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</si>
  <si>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</si>
  <si>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</si>
  <si>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</si>
  <si>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</si>
  <si>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</si>
  <si>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</si>
  <si>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</si>
  <si>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</si>
  <si>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</si>
  <si>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</si>
  <si>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</si>
  <si>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</si>
  <si>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</si>
  <si>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</si>
  <si>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</si>
  <si>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</si>
  <si>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</si>
  <si>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</si>
  <si>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</si>
  <si>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</si>
  <si>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</si>
  <si>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</si>
  <si>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</si>
  <si>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</si>
  <si>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</si>
  <si>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</si>
  <si>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</si>
  <si>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</si>
  <si>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</si>
  <si>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</si>
  <si>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</si>
  <si>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</si>
  <si>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</si>
  <si>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</si>
  <si>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</si>
  <si>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</si>
  <si>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</si>
  <si>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</si>
  <si>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</si>
  <si>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</si>
  <si>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</si>
  <si>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</si>
  <si>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</si>
  <si>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</si>
  <si>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</si>
  <si>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</si>
  <si>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</si>
  <si>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</si>
  <si>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</si>
  <si>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</si>
  <si>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</si>
  <si>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</si>
  <si>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</si>
  <si>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</si>
  <si>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</si>
  <si>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</si>
  <si>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</si>
  <si>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</si>
  <si>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</si>
  <si>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</si>
  <si>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</si>
  <si>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</si>
  <si>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</si>
  <si>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</si>
  <si>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</si>
  <si>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</si>
  <si>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</si>
  <si>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</si>
  <si>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</si>
  <si>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</si>
  <si>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</si>
  <si>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</si>
  <si>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</si>
  <si>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</si>
  <si>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</si>
  <si>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</si>
  <si>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</si>
  <si>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</si>
  <si>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</si>
  <si>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</si>
  <si>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</si>
  <si>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</si>
  <si>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</si>
  <si>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</si>
  <si>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</si>
  <si>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</si>
  <si>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</si>
  <si>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</si>
  <si>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</si>
  <si>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</si>
  <si>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</si>
  <si>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</si>
  <si>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</si>
  <si>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</si>
  <si>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</si>
  <si>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</si>
  <si>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</si>
  <si>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</si>
  <si>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</si>
  <si>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</si>
  <si>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</si>
  <si>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</si>
  <si>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</si>
  <si>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</si>
  <si>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</si>
  <si>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</si>
  <si>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</si>
  <si>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</si>
  <si>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</si>
  <si>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</si>
  <si>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</si>
  <si>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</si>
  <si>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</si>
  <si>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</si>
  <si>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</si>
  <si>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</si>
  <si>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</si>
  <si>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</si>
  <si>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</si>
  <si>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</si>
  <si>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</si>
  <si>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</si>
  <si>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</si>
  <si>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</si>
  <si>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</si>
  <si>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</si>
  <si>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</si>
  <si>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</si>
  <si>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</si>
  <si>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</si>
  <si>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</si>
  <si>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</si>
  <si>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</si>
  <si>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</si>
  <si>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</si>
  <si>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</si>
  <si>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</si>
  <si>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</si>
  <si>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</si>
  <si>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</si>
  <si>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</si>
  <si>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</si>
  <si>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</si>
  <si>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</si>
  <si>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</si>
  <si>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</si>
  <si>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</si>
  <si>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</si>
  <si>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</si>
  <si>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</si>
  <si>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</si>
  <si>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</si>
  <si>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</si>
  <si>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</si>
  <si>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</si>
  <si>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</si>
  <si>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</si>
  <si>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</si>
  <si>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</si>
  <si>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</si>
  <si>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</si>
  <si>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</si>
  <si>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</si>
  <si>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</si>
  <si>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</si>
  <si>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</si>
  <si>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</si>
  <si>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</si>
  <si>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</si>
  <si>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</si>
  <si>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</si>
  <si>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</si>
  <si>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</si>
  <si>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</si>
  <si>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</si>
  <si>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</si>
  <si>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</si>
  <si>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</si>
  <si>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</si>
  <si>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</si>
  <si>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</si>
  <si>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</si>
  <si>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</si>
  <si>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</si>
  <si>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</si>
  <si>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</si>
  <si>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</si>
  <si>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</si>
  <si>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</si>
  <si>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</si>
  <si>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</si>
  <si>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</si>
  <si>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</si>
  <si>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</si>
  <si>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</si>
  <si>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</si>
  <si>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</si>
  <si>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</si>
  <si>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</si>
  <si>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</si>
  <si>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</si>
  <si>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</si>
  <si>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</si>
  <si>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</si>
  <si>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</si>
  <si>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</si>
  <si>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</si>
  <si>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</si>
  <si>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</si>
  <si>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</si>
  <si>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</si>
  <si>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</si>
  <si>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</si>
  <si>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</si>
  <si>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</si>
  <si>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</si>
  <si>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</si>
  <si>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</si>
  <si>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</si>
  <si>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</si>
  <si>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</si>
  <si>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</si>
  <si>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</si>
  <si>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</si>
  <si>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</si>
  <si>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</si>
  <si>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</si>
  <si>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</si>
  <si>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</si>
  <si>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</si>
  <si>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</si>
  <si>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</si>
  <si>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</si>
  <si>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</si>
  <si>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</si>
  <si>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</si>
  <si>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</si>
  <si>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</si>
  <si>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</si>
  <si>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</si>
  <si>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</si>
  <si>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</si>
  <si>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</si>
  <si>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</si>
  <si>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</si>
  <si>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</si>
  <si>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</si>
  <si>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</si>
  <si>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</si>
  <si>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</si>
  <si>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</si>
  <si>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</si>
  <si>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</si>
  <si>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</si>
  <si>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</si>
  <si>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</si>
  <si>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</si>
  <si>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</si>
  <si>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</si>
  <si>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</si>
  <si>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</si>
  <si>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</si>
  <si>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</si>
  <si>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</si>
  <si>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</si>
  <si>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</si>
  <si>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</si>
  <si>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</si>
  <si>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</si>
  <si>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</si>
  <si>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</si>
  <si>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</si>
  <si>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</si>
  <si>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</si>
  <si>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</si>
  <si>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</si>
  <si>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</si>
  <si>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</si>
  <si>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</si>
  <si>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</si>
  <si>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</si>
  <si>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</si>
  <si>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</si>
  <si>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</si>
  <si>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</si>
  <si>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</si>
  <si>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</si>
  <si>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</si>
  <si>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</si>
  <si>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</si>
  <si>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</si>
  <si>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</si>
  <si>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</si>
  <si>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</si>
  <si>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</si>
  <si>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</si>
  <si>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</si>
  <si>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</si>
  <si>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</si>
  <si>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</si>
  <si>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</si>
  <si>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</si>
  <si>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</si>
  <si>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</si>
  <si>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</si>
  <si>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</si>
  <si>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</si>
  <si>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</si>
  <si>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</si>
  <si>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</si>
  <si>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</si>
  <si>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</si>
  <si>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</si>
  <si>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</si>
  <si>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</si>
  <si>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</si>
  <si>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</si>
  <si>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</si>
  <si>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</si>
  <si>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</si>
  <si>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</si>
  <si>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</si>
  <si>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</si>
  <si>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</si>
  <si>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</si>
  <si>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</si>
  <si>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</si>
  <si>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</si>
  <si>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</si>
  <si>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</si>
  <si>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</si>
  <si>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</si>
  <si>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</si>
  <si>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</si>
  <si>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</si>
  <si>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</si>
  <si>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</si>
  <si>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</si>
  <si>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</si>
  <si>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</si>
  <si>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</si>
  <si>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</si>
  <si>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</si>
  <si>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</si>
  <si>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</si>
  <si>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</si>
  <si>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</si>
  <si>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</si>
  <si>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</si>
  <si>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</si>
  <si>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</si>
  <si>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</si>
  <si>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</si>
  <si>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</si>
  <si>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</si>
  <si>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</si>
  <si>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</si>
  <si>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</si>
  <si>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</si>
  <si>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</si>
  <si>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</si>
  <si>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</si>
  <si>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</si>
  <si>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</si>
  <si>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</si>
  <si>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</si>
  <si>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</si>
  <si>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</si>
  <si>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</si>
  <si>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</si>
  <si>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</si>
  <si>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</si>
  <si>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</si>
  <si>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</si>
  <si>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</si>
  <si>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</si>
  <si>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</si>
  <si>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</si>
  <si>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</si>
  <si>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</si>
  <si>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</si>
  <si>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</si>
  <si>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</si>
  <si>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</si>
  <si>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</si>
  <si>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</si>
  <si>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</si>
  <si>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</si>
  <si>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</si>
  <si>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</si>
  <si>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</si>
  <si>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</si>
  <si>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</si>
  <si>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</si>
  <si>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</si>
  <si>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</si>
  <si>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</si>
  <si>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</si>
  <si>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</si>
  <si>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</si>
  <si>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</si>
  <si>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</si>
  <si>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</si>
  <si>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</si>
  <si>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</si>
  <si>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</si>
  <si>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</si>
  <si>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</si>
  <si>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</si>
  <si>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</si>
  <si>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</si>
  <si>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</si>
  <si>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</si>
  <si>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</si>
  <si>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</si>
  <si>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</si>
  <si>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</si>
  <si>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</si>
  <si>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</si>
  <si>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</si>
  <si>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</si>
  <si>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</si>
  <si>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</si>
  <si>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</si>
  <si>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</si>
  <si>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</si>
  <si>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</si>
  <si>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</si>
  <si>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</si>
  <si>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</si>
  <si>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</si>
  <si>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</si>
  <si>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</si>
  <si>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</si>
  <si>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</si>
  <si>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</si>
  <si>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</si>
  <si>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</si>
  <si>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</si>
  <si>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</si>
  <si>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</si>
  <si>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</si>
  <si>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</si>
  <si>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</si>
  <si>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</si>
  <si>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</si>
  <si>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</si>
  <si>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</si>
  <si>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</si>
  <si>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</si>
  <si>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</si>
  <si>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</si>
  <si>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</si>
  <si>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</si>
  <si>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</si>
  <si>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</si>
  <si>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</si>
  <si>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</si>
  <si>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</si>
  <si>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</si>
  <si>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</si>
  <si>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</si>
  <si>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</si>
  <si>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</si>
  <si>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</si>
  <si>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</si>
  <si>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</si>
  <si>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</si>
  <si>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</si>
  <si>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</si>
  <si>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</si>
  <si>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</si>
  <si>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</si>
  <si>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</si>
  <si>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</si>
  <si>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</si>
  <si>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</si>
  <si>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</si>
  <si>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</si>
  <si>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</si>
  <si>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</si>
  <si>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</si>
  <si>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</si>
  <si>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</si>
  <si>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</si>
  <si>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</si>
  <si>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</si>
  <si>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</si>
  <si>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</si>
  <si>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</si>
  <si>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</si>
  <si>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</si>
  <si>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</si>
  <si>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</si>
  <si>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</si>
  <si>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</si>
  <si>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</si>
  <si>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</si>
  <si>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</si>
  <si>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</si>
  <si>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</si>
  <si>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</si>
  <si>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</si>
  <si>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</si>
  <si>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</si>
  <si>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</si>
  <si>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</si>
  <si>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</si>
  <si>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</si>
  <si>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</si>
  <si>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</si>
  <si>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</si>
  <si>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</si>
  <si>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</si>
  <si>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</si>
  <si>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</si>
  <si>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</si>
  <si>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</si>
  <si>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</si>
  <si>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</si>
  <si>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</si>
  <si>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</si>
  <si>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</si>
  <si>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</si>
  <si>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</si>
  <si>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</si>
  <si>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</si>
  <si>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</si>
  <si>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</si>
  <si>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</si>
  <si>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</si>
  <si>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</si>
  <si>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</si>
  <si>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</si>
  <si>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</si>
  <si>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</si>
  <si>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</si>
  <si>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</si>
  <si>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</si>
  <si>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</si>
  <si>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</si>
  <si>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</si>
  <si>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</si>
  <si>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</si>
  <si>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</si>
  <si>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</si>
  <si>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</si>
  <si>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</si>
  <si>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</si>
  <si>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</si>
  <si>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</si>
  <si>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</si>
  <si>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</si>
  <si>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</si>
  <si>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</si>
  <si>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</si>
  <si>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</si>
  <si>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</si>
  <si>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</si>
  <si>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</si>
  <si>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</si>
  <si>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</si>
  <si>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</si>
  <si>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</si>
  <si>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</si>
  <si>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</si>
  <si>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</si>
  <si>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</si>
  <si>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</si>
  <si>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</si>
  <si>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</si>
  <si>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</si>
  <si>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</si>
  <si>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</si>
  <si>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</si>
  <si>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</si>
  <si>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</si>
  <si>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</si>
  <si>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</si>
  <si>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</si>
  <si>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</si>
  <si>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</si>
  <si>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</si>
  <si>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</si>
  <si>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</si>
  <si>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</si>
  <si>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</si>
  <si>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</si>
  <si>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</si>
  <si>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</si>
  <si>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</si>
  <si>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</si>
  <si>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</si>
  <si>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</si>
  <si>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</si>
  <si>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</si>
  <si>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</si>
  <si>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</si>
  <si>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</si>
  <si>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</si>
  <si>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</si>
  <si>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</si>
  <si>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</si>
  <si>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</si>
  <si>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</si>
  <si>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</si>
  <si>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</si>
  <si>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</si>
  <si>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</si>
  <si>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</si>
  <si>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</si>
  <si>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</si>
  <si>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</si>
  <si>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</si>
  <si>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</si>
  <si>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</si>
  <si>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</si>
  <si>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</si>
  <si>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</si>
  <si>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</si>
  <si>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</si>
  <si>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</si>
  <si>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</si>
  <si>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</si>
  <si>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</si>
  <si>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</si>
  <si>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</si>
  <si>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</si>
  <si>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</si>
  <si>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</si>
  <si>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</si>
  <si>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</si>
  <si>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</si>
  <si>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</si>
  <si>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</si>
  <si>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</si>
  <si>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</si>
  <si>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</si>
  <si>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</si>
  <si>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</si>
  <si>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</si>
  <si>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</si>
  <si>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</si>
  <si>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</si>
  <si>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</si>
  <si>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</si>
  <si>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</si>
  <si>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</si>
  <si>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</si>
  <si>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</si>
  <si>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</si>
  <si>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</si>
  <si>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</si>
  <si>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</si>
  <si>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</si>
  <si>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</si>
  <si>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</si>
  <si>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</si>
  <si>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</si>
  <si>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</si>
  <si>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</si>
  <si>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</si>
  <si>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</si>
  <si>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</si>
  <si>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</si>
  <si>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</si>
  <si>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</si>
  <si>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</si>
  <si>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</si>
  <si>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</si>
  <si>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</si>
  <si>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</si>
  <si>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</si>
  <si>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</si>
  <si>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</si>
  <si>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</si>
  <si>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</si>
  <si>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</si>
  <si>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</si>
  <si>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</si>
  <si>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</si>
  <si>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</si>
  <si>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</si>
  <si>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</si>
  <si>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</si>
  <si>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</si>
  <si>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</si>
  <si>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</si>
  <si>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</si>
  <si>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</si>
  <si>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</si>
  <si>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</si>
  <si>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</si>
  <si>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</si>
  <si>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</si>
  <si>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</si>
  <si>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</si>
  <si>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</si>
  <si>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</si>
  <si>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</si>
  <si>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</si>
  <si>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</si>
  <si>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</si>
  <si>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</si>
  <si>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</si>
  <si>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</si>
  <si>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</si>
  <si>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</si>
  <si>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</si>
  <si>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</si>
  <si>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</si>
  <si>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</si>
  <si>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</si>
  <si>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</si>
  <si>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</si>
  <si>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</si>
  <si>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</si>
  <si>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</si>
  <si>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</si>
  <si>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</si>
  <si>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</si>
  <si>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</si>
  <si>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</si>
  <si>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</si>
  <si>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</si>
  <si>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</si>
  <si>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</si>
  <si>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</si>
  <si>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</si>
  <si>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</si>
  <si>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</si>
  <si>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</si>
  <si>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</si>
  <si>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</si>
  <si>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</si>
  <si>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</si>
  <si>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</si>
  <si>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</si>
  <si>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</si>
  <si>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</si>
  <si>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</si>
  <si>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</si>
  <si>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</si>
  <si>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</si>
  <si>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</si>
  <si>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</si>
  <si>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</si>
  <si>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</si>
  <si>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</si>
  <si>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</si>
  <si>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</si>
  <si>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</si>
  <si>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</si>
  <si>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</si>
  <si>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</si>
  <si>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</si>
  <si>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</si>
  <si>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</si>
  <si>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</si>
  <si>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</si>
  <si>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</si>
  <si>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</si>
  <si>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</si>
  <si>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</si>
  <si>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</si>
  <si>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</si>
  <si>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</si>
  <si>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</si>
  <si>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</si>
  <si>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</si>
  <si>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</si>
  <si>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</si>
  <si>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</si>
  <si>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</si>
  <si>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</si>
  <si>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</si>
  <si>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</si>
  <si>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</si>
  <si>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</si>
  <si>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</si>
  <si>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</si>
  <si>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</si>
  <si>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</si>
  <si>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</si>
  <si>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</si>
  <si>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</si>
  <si>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</si>
  <si>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</si>
  <si>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</si>
  <si>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</si>
  <si>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</si>
  <si>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</si>
  <si>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</si>
  <si>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</si>
  <si>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</si>
  <si>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</si>
  <si>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</si>
  <si>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</si>
  <si>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</si>
  <si>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</si>
  <si>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</si>
  <si>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</si>
  <si>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</si>
  <si>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</si>
  <si>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</si>
  <si>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</si>
  <si>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</si>
  <si>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</si>
  <si>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</si>
  <si>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</si>
  <si>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</si>
  <si>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</si>
  <si>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</si>
  <si>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</si>
  <si>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</si>
  <si>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</si>
  <si>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</si>
  <si>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</si>
  <si>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</si>
  <si>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</si>
  <si>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</si>
  <si>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</si>
  <si>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</si>
  <si>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</si>
  <si>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</si>
  <si>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</si>
  <si>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</si>
  <si>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</si>
  <si>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</si>
  <si>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</si>
  <si>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</si>
  <si>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</si>
  <si>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</si>
  <si>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</si>
  <si>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</si>
  <si>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</si>
  <si>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</si>
  <si>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</si>
  <si>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</si>
  <si>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</si>
  <si>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</si>
  <si>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</si>
  <si>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</si>
  <si>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</si>
  <si>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</si>
  <si>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</si>
  <si>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</si>
  <si>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</si>
  <si>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</si>
  <si>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</si>
  <si>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</si>
  <si>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</si>
  <si>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</si>
  <si>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</si>
  <si>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</si>
  <si>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</si>
  <si>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</si>
  <si>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</si>
  <si>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</si>
  <si>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</si>
  <si>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</si>
  <si>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</si>
  <si>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</si>
  <si>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</si>
  <si>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</si>
  <si>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</si>
  <si>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</si>
  <si>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</si>
  <si>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</si>
  <si>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</si>
  <si>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</si>
  <si>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</si>
  <si>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</si>
  <si>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</si>
  <si>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</si>
  <si>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</si>
  <si>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</si>
  <si>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</si>
  <si>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</si>
  <si>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</si>
  <si>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</si>
  <si>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</si>
  <si>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</si>
  <si>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</si>
  <si>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</si>
  <si>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</si>
  <si>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</si>
  <si>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</si>
  <si>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</si>
  <si>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</si>
  <si>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</si>
  <si>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</si>
  <si>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</si>
  <si>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</si>
  <si>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</si>
  <si>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</si>
  <si>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</si>
  <si>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</si>
  <si>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</si>
  <si>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</si>
  <si>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</si>
  <si>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</si>
  <si>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</si>
  <si>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</si>
  <si>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</si>
  <si>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</si>
  <si>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</si>
  <si>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</si>
  <si>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</si>
  <si>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</si>
  <si>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</si>
  <si>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</si>
  <si>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</si>
  <si>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</si>
  <si>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</si>
  <si>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</si>
  <si>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</si>
  <si>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</si>
  <si>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</si>
  <si>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</si>
  <si>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</si>
  <si>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</si>
  <si>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</si>
  <si>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</si>
  <si>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</si>
  <si>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</si>
  <si>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</si>
  <si>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</si>
  <si>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</si>
  <si>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</si>
  <si>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</si>
  <si>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</si>
  <si>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</si>
  <si>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</si>
  <si>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</si>
  <si>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</si>
  <si>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</si>
  <si>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</si>
  <si>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</si>
  <si>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</si>
  <si>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</si>
  <si>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</si>
  <si>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</si>
  <si>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</si>
  <si>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</si>
  <si>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</si>
  <si>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</si>
  <si>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</si>
  <si>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</si>
  <si>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</si>
  <si>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</si>
  <si>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</si>
  <si>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</si>
  <si>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</si>
  <si>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</si>
  <si>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</si>
  <si>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</si>
  <si>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</si>
  <si>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</si>
  <si>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</si>
  <si>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</si>
  <si>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</si>
  <si>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</si>
  <si>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</si>
  <si>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</si>
  <si>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</si>
  <si>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</si>
  <si>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</si>
  <si>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</si>
  <si>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</si>
  <si>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</si>
  <si>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</si>
  <si>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</si>
  <si>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</si>
  <si>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</si>
  <si>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</si>
  <si>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</si>
  <si>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</si>
  <si>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</si>
  <si>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</si>
  <si>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</si>
  <si>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</si>
  <si>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</si>
  <si>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</si>
  <si>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</si>
  <si>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</si>
  <si>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</si>
  <si>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</si>
  <si>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</si>
  <si>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</si>
  <si>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</si>
  <si>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</si>
  <si>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</si>
  <si>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</si>
  <si>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</si>
  <si>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</si>
  <si>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</si>
  <si>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</si>
  <si>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</si>
  <si>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</si>
  <si>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</si>
  <si>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</si>
  <si>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</si>
  <si>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</si>
  <si>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</si>
  <si>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</si>
  <si>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</si>
  <si>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</si>
  <si>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</si>
  <si>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</si>
  <si>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</si>
  <si>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</si>
  <si>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</si>
  <si>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</si>
  <si>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</si>
  <si>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</si>
  <si>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</si>
  <si>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</si>
  <si>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</si>
  <si>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</si>
  <si>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</si>
  <si>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</si>
  <si>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</si>
  <si>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</si>
  <si>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</si>
  <si>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</si>
  <si>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</si>
  <si>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</si>
  <si>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</si>
  <si>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</si>
  <si>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</si>
  <si>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</si>
  <si>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</si>
  <si>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</si>
  <si>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</si>
  <si>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</si>
  <si>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</si>
  <si>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</si>
  <si>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</si>
  <si>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</si>
  <si>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</si>
  <si>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</si>
  <si>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</si>
  <si>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</si>
  <si>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</si>
  <si>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</si>
  <si>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</si>
  <si>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</si>
  <si>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</si>
  <si>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</si>
  <si>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</si>
  <si>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</si>
  <si>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</si>
  <si>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</si>
  <si>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</si>
  <si>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</si>
  <si>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</si>
  <si>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</si>
  <si>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</si>
  <si>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</si>
  <si>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</si>
  <si>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</si>
  <si>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</si>
  <si>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</si>
  <si>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</si>
  <si>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</si>
  <si>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</si>
  <si>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</si>
  <si>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</si>
  <si>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</si>
  <si>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</si>
  <si>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</si>
  <si>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</si>
  <si>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</si>
  <si>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</si>
  <si>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</si>
  <si>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</si>
  <si>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</si>
  <si>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</si>
  <si>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</si>
  <si>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</si>
  <si>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</si>
  <si>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</si>
  <si>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</si>
  <si>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</si>
  <si>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</si>
  <si>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</si>
  <si>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</si>
  <si>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</si>
  <si>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</si>
  <si>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</si>
  <si>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</si>
  <si>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</si>
  <si>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</si>
  <si>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</si>
  <si>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</si>
  <si>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</si>
  <si>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</si>
  <si>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</si>
  <si>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</si>
  <si>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</si>
  <si>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</si>
  <si>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</si>
  <si>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</si>
  <si>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</si>
  <si>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</si>
  <si>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</si>
  <si>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</si>
  <si>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</si>
  <si>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</si>
  <si>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</si>
  <si>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</si>
  <si>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</si>
  <si>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</si>
  <si>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</si>
  <si>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</si>
  <si>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</si>
  <si>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</si>
  <si>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</si>
  <si>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</si>
  <si>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</si>
  <si>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</si>
  <si>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</si>
  <si>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</si>
  <si>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</si>
  <si>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</si>
  <si>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</si>
  <si>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</si>
  <si>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</si>
  <si>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</si>
  <si>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</si>
  <si>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</si>
  <si>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</si>
  <si>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</si>
  <si>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</si>
  <si>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</si>
  <si>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</si>
  <si>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</si>
  <si>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</si>
  <si>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</si>
  <si>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</si>
  <si>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</si>
  <si>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</si>
  <si>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</si>
  <si>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</si>
  <si>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</si>
  <si>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</si>
  <si>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</si>
  <si>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</si>
  <si>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</si>
  <si>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</si>
  <si>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</si>
  <si>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</si>
  <si>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</si>
  <si>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</si>
  <si>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</si>
  <si>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</si>
  <si>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</si>
  <si>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</si>
  <si>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</si>
  <si>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</si>
  <si>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</si>
  <si>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</si>
  <si>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</si>
  <si>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</si>
  <si>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</si>
  <si>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</si>
  <si>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</si>
  <si>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</si>
  <si>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</si>
  <si>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</si>
  <si>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</si>
  <si>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</si>
  <si>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</si>
  <si>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</si>
  <si>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</si>
  <si>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</si>
  <si>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</si>
  <si>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</si>
  <si>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</si>
  <si>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</si>
  <si>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</si>
  <si>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</si>
  <si>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</si>
  <si>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</si>
  <si>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</si>
  <si>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</si>
  <si>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</si>
  <si>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</si>
  <si>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</si>
  <si>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</si>
  <si>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</si>
  <si>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</si>
  <si>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</si>
  <si>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</si>
  <si>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</si>
  <si>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</si>
  <si>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</si>
  <si>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</si>
  <si>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</si>
  <si>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</si>
  <si>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</si>
  <si>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</si>
  <si>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</si>
  <si>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</si>
  <si>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</si>
  <si>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</si>
  <si>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</si>
  <si>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</si>
  <si>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</si>
  <si>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</si>
  <si>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</si>
  <si>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</si>
  <si>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</si>
  <si>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</si>
  <si>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</si>
  <si>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</si>
  <si>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</si>
  <si>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</si>
  <si>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</si>
  <si>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</si>
  <si>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</si>
  <si>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</si>
  <si>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</si>
  <si>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</si>
  <si>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</si>
  <si>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</si>
  <si>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</si>
  <si>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</si>
  <si>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</si>
  <si>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</si>
  <si>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</si>
  <si>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</si>
  <si>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</si>
  <si>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</si>
  <si>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</si>
  <si>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</si>
  <si>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</si>
  <si>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</si>
  <si>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</si>
  <si>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</si>
  <si>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</si>
  <si>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</si>
  <si>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</si>
  <si>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</si>
  <si>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</si>
  <si>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</si>
  <si>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</si>
  <si>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</si>
  <si>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</si>
  <si>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</si>
  <si>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</si>
  <si>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</si>
  <si>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</si>
  <si>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</si>
  <si>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</si>
  <si>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</si>
  <si>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</si>
  <si>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</si>
  <si>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</si>
  <si>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</si>
  <si>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</si>
  <si>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</si>
  <si>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</si>
  <si>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</si>
  <si>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</si>
  <si>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</si>
  <si>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</si>
  <si>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</si>
  <si>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</si>
  <si>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</si>
  <si>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</si>
  <si>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</si>
  <si>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</si>
  <si>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</si>
  <si>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</si>
  <si>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</si>
  <si>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</si>
  <si>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</si>
  <si>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</si>
  <si>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</si>
  <si>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</si>
  <si>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</si>
  <si>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</si>
  <si>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</si>
  <si>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</si>
  <si>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</si>
  <si>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</si>
  <si>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</si>
  <si>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</si>
  <si>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</si>
  <si>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</si>
  <si>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</si>
  <si>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</si>
  <si>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</si>
  <si>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</si>
  <si>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</si>
  <si>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</si>
  <si>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</si>
  <si>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</si>
  <si>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</si>
  <si>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</si>
  <si>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</si>
  <si>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</si>
  <si>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</si>
  <si>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</si>
  <si>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</si>
  <si>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</si>
  <si>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</si>
  <si>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</si>
  <si>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</si>
  <si>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</si>
  <si>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</si>
  <si>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</si>
  <si>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</si>
  <si>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</si>
  <si>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</si>
  <si>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</si>
  <si>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</si>
  <si>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</si>
  <si>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</si>
  <si>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</si>
  <si>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</si>
  <si>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</si>
  <si>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</si>
  <si>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</si>
  <si>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</si>
  <si>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</si>
  <si>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</si>
  <si>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</si>
  <si>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</si>
  <si>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</si>
  <si>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</si>
  <si>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</si>
  <si>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</si>
  <si>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</si>
  <si>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</si>
  <si>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</si>
  <si>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</si>
  <si>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</si>
  <si>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</si>
  <si>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</si>
  <si>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</si>
  <si>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</si>
  <si>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</si>
  <si>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</si>
  <si>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</si>
  <si>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</si>
  <si>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</si>
  <si>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</si>
  <si>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</si>
  <si>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</si>
  <si>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</si>
  <si>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</si>
  <si>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</si>
  <si>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</si>
  <si>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</si>
  <si>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</si>
  <si>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</si>
  <si>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</si>
  <si>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</si>
  <si>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</si>
  <si>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</si>
  <si>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</si>
  <si>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</si>
  <si>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</si>
  <si>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</si>
  <si>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</si>
  <si>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</si>
  <si>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</si>
  <si>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</si>
  <si>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</si>
  <si>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</si>
  <si>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</si>
  <si>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</si>
  <si>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</si>
  <si>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</si>
  <si>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</si>
  <si>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</si>
  <si>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</si>
  <si>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</si>
  <si>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</si>
  <si>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</si>
  <si>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</si>
  <si>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</si>
  <si>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</si>
  <si>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</si>
  <si>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</si>
  <si>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</si>
  <si>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</si>
  <si>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</si>
  <si>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</si>
  <si>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</si>
  <si>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</si>
  <si>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</si>
  <si>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</si>
  <si>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</si>
  <si>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</si>
  <si>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</si>
  <si>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</si>
  <si>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</si>
  <si>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</si>
  <si>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</si>
  <si>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</si>
  <si>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</si>
  <si>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</si>
  <si>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</si>
  <si>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</si>
  <si>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</si>
  <si>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</si>
  <si>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</si>
  <si>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</si>
  <si>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</si>
  <si>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</si>
  <si>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</si>
  <si>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</si>
  <si>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</si>
  <si>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</si>
  <si>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</si>
  <si>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</si>
  <si>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</si>
  <si>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</si>
  <si>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</si>
  <si>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</si>
  <si>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</si>
  <si>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</si>
  <si>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</si>
  <si>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</si>
  <si>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</si>
  <si>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</si>
  <si>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</si>
  <si>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</si>
  <si>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</si>
  <si>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</si>
  <si>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</si>
  <si>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</si>
  <si>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</si>
  <si>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</si>
  <si>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</si>
  <si>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</si>
  <si>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</si>
  <si>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</si>
  <si>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</si>
  <si>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</si>
  <si>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</si>
  <si>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</si>
  <si>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</si>
  <si>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</si>
  <si>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</si>
  <si>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</si>
  <si>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</si>
  <si>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</si>
  <si>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</si>
  <si>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</si>
  <si>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</si>
  <si>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</si>
  <si>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</si>
  <si>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</si>
  <si>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</si>
  <si>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</si>
  <si>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</si>
  <si>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</si>
  <si>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</si>
  <si>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</si>
  <si>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</si>
  <si>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</si>
  <si>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</si>
  <si>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</si>
  <si>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</si>
  <si>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</si>
  <si>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</si>
  <si>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</si>
  <si>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</si>
  <si>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</si>
  <si>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</si>
  <si>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</si>
  <si>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</si>
  <si>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</si>
  <si>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</si>
  <si>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</si>
  <si>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</si>
  <si>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</si>
  <si>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</si>
  <si>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</si>
  <si>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</si>
  <si>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</si>
  <si>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</si>
  <si>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</si>
  <si>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</si>
  <si>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</si>
  <si>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</si>
  <si>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</si>
  <si>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</si>
  <si>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</si>
  <si>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</si>
  <si>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</si>
  <si>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</si>
  <si>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</si>
  <si>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</si>
  <si>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</si>
  <si>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</si>
  <si>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</si>
  <si>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</si>
  <si>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</si>
  <si>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</si>
  <si>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</si>
  <si>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</si>
  <si>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</si>
  <si>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</si>
  <si>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</si>
  <si>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</si>
  <si>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</si>
  <si>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</si>
  <si>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</si>
  <si>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</si>
  <si>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</si>
  <si>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</si>
  <si>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</si>
  <si>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</si>
  <si>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</si>
  <si>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</si>
  <si>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</si>
  <si>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</si>
  <si>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</si>
  <si>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</si>
  <si>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</si>
  <si>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</si>
  <si>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</si>
  <si>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</si>
  <si>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</si>
  <si>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</si>
  <si>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</si>
  <si>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</si>
  <si>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</si>
  <si>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</si>
  <si>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</si>
  <si>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</si>
  <si>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</si>
  <si>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</si>
  <si>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</si>
  <si>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</si>
  <si>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</si>
  <si>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</si>
  <si>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</si>
  <si>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</si>
  <si>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</si>
  <si>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</si>
  <si>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</si>
  <si>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</si>
  <si>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</si>
  <si>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</si>
  <si>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</si>
  <si>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</si>
  <si>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</si>
  <si>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</si>
  <si>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</si>
  <si>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</si>
  <si>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</si>
  <si>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</si>
  <si>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</si>
  <si>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</si>
  <si>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</si>
  <si>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</si>
  <si>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</si>
  <si>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</si>
  <si>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</si>
  <si>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</si>
  <si>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</si>
  <si>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</si>
  <si>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</si>
  <si>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</si>
  <si>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</si>
  <si>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</si>
  <si>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</si>
  <si>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</si>
  <si>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</si>
  <si>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</si>
  <si>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</si>
  <si>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</si>
  <si>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</si>
  <si>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</si>
  <si>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</si>
  <si>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</si>
  <si>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</si>
  <si>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</si>
  <si>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</si>
  <si>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</si>
  <si>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</si>
  <si>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</si>
  <si>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</si>
  <si>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</si>
  <si>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</si>
  <si>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</si>
  <si>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</si>
  <si>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</si>
  <si>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</si>
  <si>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</si>
  <si>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</si>
  <si>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</si>
  <si>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</si>
  <si>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</si>
  <si>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</si>
  <si>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</si>
  <si>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</si>
  <si>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</si>
  <si>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</si>
  <si>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</si>
  <si>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</si>
  <si>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</si>
  <si>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</si>
  <si>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</si>
  <si>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</si>
  <si>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</si>
  <si>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</si>
  <si>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</si>
  <si>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</si>
  <si>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</si>
  <si>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</si>
  <si>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</si>
  <si>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</si>
  <si>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</si>
  <si>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</si>
  <si>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</si>
  <si>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</si>
  <si>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</si>
  <si>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</si>
  <si>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</si>
  <si>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</si>
  <si>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</si>
  <si>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</si>
  <si>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</si>
  <si>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</si>
  <si>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</si>
  <si>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</si>
  <si>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</si>
  <si>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</si>
  <si>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</si>
  <si>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</si>
  <si>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</si>
  <si>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</si>
  <si>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</si>
  <si>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</si>
  <si>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</si>
  <si>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</si>
  <si>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</si>
  <si>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</si>
  <si>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</si>
  <si>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</si>
  <si>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</si>
  <si>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</si>
  <si>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</si>
  <si>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</si>
  <si>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</si>
  <si>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</si>
  <si>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</si>
  <si>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</si>
  <si>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</si>
  <si>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</si>
  <si>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</si>
  <si>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</si>
  <si>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</si>
  <si>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</si>
  <si>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</si>
  <si>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</si>
  <si>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</si>
  <si>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</si>
  <si>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</si>
  <si>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</si>
  <si>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</si>
  <si>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</si>
  <si>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</si>
  <si>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</si>
  <si>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</si>
  <si>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</si>
  <si>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</si>
  <si>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</si>
  <si>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</si>
  <si>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</si>
  <si>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</si>
  <si>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</si>
  <si>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</si>
  <si>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</si>
  <si>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</si>
  <si>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</si>
  <si>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</si>
  <si>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</si>
  <si>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</si>
  <si>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</si>
  <si>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</si>
  <si>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</si>
  <si>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</si>
  <si>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</si>
  <si>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</si>
  <si>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</si>
  <si>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</si>
  <si>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</si>
  <si>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</si>
  <si>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</si>
  <si>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</si>
  <si>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</si>
  <si>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</si>
  <si>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</si>
  <si>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</si>
  <si>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</si>
  <si>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</si>
  <si>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</si>
  <si>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</si>
  <si>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</si>
  <si>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</si>
  <si>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</si>
  <si>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</si>
  <si>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</si>
  <si>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</si>
  <si>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</si>
  <si>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</si>
  <si>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</si>
  <si>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</si>
  <si>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</si>
  <si>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</si>
  <si>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</si>
  <si>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</si>
  <si>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</si>
  <si>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</si>
  <si>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</si>
  <si>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</si>
  <si>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</si>
  <si>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</si>
  <si>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</si>
  <si>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</si>
  <si>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</si>
  <si>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</si>
  <si>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</si>
  <si>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</si>
  <si>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</si>
  <si>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</si>
  <si>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</si>
  <si>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</si>
  <si>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</si>
  <si>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</si>
  <si>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</si>
  <si>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</si>
  <si>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</si>
  <si>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</si>
  <si>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</si>
  <si>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</si>
  <si>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</si>
  <si>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</si>
  <si>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</si>
  <si>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</si>
  <si>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</si>
  <si>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</si>
  <si>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</si>
  <si>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</si>
  <si>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</si>
  <si>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</si>
  <si>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</si>
  <si>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</si>
  <si>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</si>
  <si>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</si>
  <si>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</si>
  <si>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</si>
  <si>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</si>
  <si>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</si>
  <si>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</si>
  <si>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</si>
  <si>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</si>
  <si>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</si>
  <si>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</si>
  <si>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</si>
  <si>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</si>
  <si>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</si>
  <si>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</si>
  <si>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</si>
  <si>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</si>
  <si>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</si>
  <si>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</si>
  <si>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</si>
  <si>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</si>
  <si>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</si>
  <si>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</si>
  <si>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</si>
  <si>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</si>
  <si>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</si>
  <si>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</si>
  <si>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</si>
  <si>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</si>
  <si>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</si>
  <si>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</si>
  <si>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</si>
  <si>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</si>
  <si>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</si>
  <si>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</si>
  <si>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</si>
  <si>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</si>
  <si>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</si>
  <si>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</si>
  <si>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</si>
  <si>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</si>
  <si>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</si>
  <si>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</si>
  <si>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</si>
  <si>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</si>
  <si>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</si>
  <si>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</si>
  <si>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</si>
  <si>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</si>
  <si>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</si>
  <si>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</si>
  <si>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</si>
  <si>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</si>
  <si>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</si>
  <si>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</si>
  <si>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</si>
  <si>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</si>
  <si>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</si>
  <si>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</si>
  <si>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</si>
  <si>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</si>
  <si>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</si>
  <si>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</si>
  <si>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</si>
  <si>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</si>
  <si>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</si>
  <si>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</si>
  <si>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</si>
  <si>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</si>
  <si>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</si>
  <si>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</si>
  <si>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</si>
  <si>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</si>
  <si>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</si>
  <si>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</si>
  <si>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</si>
  <si>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</si>
  <si>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</si>
  <si>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</si>
  <si>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</si>
  <si>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</si>
  <si>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</si>
  <si>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</si>
  <si>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</si>
  <si>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</si>
  <si>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</si>
  <si>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</si>
  <si>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</si>
  <si>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</si>
  <si>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</si>
  <si>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</si>
  <si>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</si>
  <si>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</si>
  <si>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</si>
  <si>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</si>
  <si>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</si>
  <si>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</si>
  <si>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</si>
  <si>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</si>
  <si>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</si>
  <si>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</si>
  <si>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</si>
  <si>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</si>
  <si>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</si>
  <si>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</si>
  <si>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</si>
  <si>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</si>
  <si>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</si>
  <si>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</si>
  <si>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</si>
  <si>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</si>
  <si>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</si>
  <si>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</si>
  <si>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</si>
  <si>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</si>
  <si>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</si>
  <si>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</si>
  <si>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</si>
  <si>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</si>
  <si>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</si>
  <si>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</si>
  <si>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</si>
  <si>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</si>
  <si>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</si>
  <si>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</si>
  <si>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</si>
  <si>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</si>
  <si>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</si>
  <si>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</si>
  <si>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</si>
  <si>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</si>
  <si>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</si>
  <si>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</si>
  <si>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</si>
  <si>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</si>
  <si>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</si>
  <si>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</si>
  <si>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</si>
  <si>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</si>
  <si>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</si>
  <si>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</si>
  <si>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</si>
  <si>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</si>
  <si>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</si>
  <si>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</si>
  <si>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</si>
  <si>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</si>
  <si>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</si>
  <si>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</si>
  <si>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</si>
  <si>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</si>
  <si>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</si>
  <si>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</si>
  <si>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</si>
  <si>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</si>
  <si>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</si>
  <si>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</si>
  <si>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</si>
  <si>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</si>
  <si>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</si>
  <si>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</si>
  <si>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</si>
  <si>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</si>
  <si>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</si>
  <si>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</si>
  <si>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</si>
  <si>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</si>
  <si>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</si>
  <si>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</si>
  <si>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</si>
  <si>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</si>
  <si>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</si>
  <si>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</si>
  <si>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</si>
  <si>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</si>
  <si>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</si>
  <si>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</si>
  <si>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</si>
  <si>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</si>
  <si>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</si>
  <si>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</si>
  <si>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</si>
  <si>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</si>
  <si>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</si>
  <si>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</si>
  <si>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</si>
  <si>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</si>
  <si>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</si>
  <si>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</si>
  <si>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</si>
  <si>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</si>
  <si>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</si>
  <si>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</si>
  <si>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</si>
  <si>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</si>
  <si>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</si>
  <si>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</si>
  <si>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</si>
  <si>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</si>
  <si>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</si>
  <si>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</si>
  <si>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</si>
  <si>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</si>
  <si>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</si>
  <si>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</si>
  <si>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</si>
  <si>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</si>
  <si>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</si>
  <si>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</si>
  <si>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</si>
  <si>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</si>
  <si>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</si>
  <si>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</si>
  <si>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</si>
  <si>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</si>
  <si>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</si>
  <si>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</si>
  <si>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</si>
  <si>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</si>
  <si>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</si>
  <si>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</si>
  <si>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</si>
  <si>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</si>
  <si>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</si>
  <si>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</si>
  <si>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</si>
  <si>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</si>
  <si>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</si>
  <si>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</si>
  <si>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</si>
  <si>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</si>
  <si>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</si>
  <si>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</si>
  <si>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</si>
  <si>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</si>
  <si>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</si>
  <si>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</si>
  <si>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</si>
  <si>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</si>
  <si>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</si>
  <si>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</si>
  <si>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</si>
  <si>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</si>
  <si>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</si>
  <si>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</si>
  <si>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</si>
  <si>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</si>
  <si>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</si>
  <si>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</si>
  <si>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</si>
  <si>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</si>
  <si>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</si>
  <si>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</si>
  <si>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</si>
  <si>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</si>
  <si>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</si>
  <si>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</si>
  <si>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</si>
  <si>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</si>
  <si>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</si>
  <si>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</si>
  <si>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</si>
  <si>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</si>
  <si>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</si>
  <si>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</si>
  <si>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</si>
  <si>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</si>
  <si>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</si>
  <si>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</si>
  <si>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</si>
  <si>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</si>
  <si>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</si>
  <si>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</si>
  <si>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</si>
  <si>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</si>
  <si>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</si>
  <si>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</si>
  <si>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</si>
  <si>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</si>
  <si>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</si>
  <si>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</si>
  <si>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</si>
  <si>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</si>
  <si>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</si>
  <si>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</si>
  <si>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</si>
  <si>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</si>
  <si>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</si>
  <si>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</si>
  <si>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</si>
  <si>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</si>
  <si>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</si>
  <si>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</si>
  <si>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</si>
  <si>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</si>
  <si>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</si>
  <si>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</si>
  <si>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</si>
  <si>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</si>
  <si>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</si>
  <si>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</si>
  <si>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</si>
  <si>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</si>
  <si>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</si>
  <si>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</si>
  <si>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</si>
  <si>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</si>
  <si>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</si>
  <si>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</si>
  <si>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</si>
  <si>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</si>
  <si>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</si>
  <si>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</si>
  <si>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</si>
  <si>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</si>
  <si>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</si>
  <si>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</si>
  <si>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</si>
  <si>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</si>
  <si>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</si>
  <si>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</si>
  <si>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</si>
  <si>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</si>
  <si>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</si>
  <si>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</si>
  <si>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</si>
  <si>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</si>
  <si>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</si>
  <si>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</si>
  <si>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</si>
  <si>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</si>
  <si>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</si>
  <si>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</si>
  <si>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</si>
  <si>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</si>
  <si>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</si>
  <si>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</si>
  <si>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</si>
  <si>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</si>
  <si>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</si>
  <si>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</si>
  <si>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</si>
  <si>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</si>
  <si>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</si>
  <si>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</si>
  <si>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</si>
  <si>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</si>
  <si>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</si>
  <si>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</si>
  <si>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</si>
  <si>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</si>
  <si>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</si>
  <si>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</si>
  <si>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</si>
  <si>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</si>
  <si>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</si>
  <si>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</si>
  <si>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</si>
  <si>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</si>
  <si>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</si>
  <si>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</si>
  <si>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</si>
  <si>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</si>
  <si>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</si>
  <si>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</si>
  <si>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</si>
  <si>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</si>
  <si>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</si>
  <si>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</si>
  <si>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</si>
  <si>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</si>
  <si>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</si>
  <si>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</si>
  <si>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</si>
  <si>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</si>
  <si>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</si>
  <si>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</si>
  <si>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</si>
  <si>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</si>
  <si>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</si>
  <si>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</si>
  <si>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</si>
  <si>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</si>
  <si>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</si>
  <si>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</si>
  <si>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</si>
  <si>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</si>
  <si>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</si>
  <si>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</si>
  <si>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</si>
  <si>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</si>
  <si>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</si>
  <si>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</si>
  <si>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</si>
  <si>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</si>
  <si>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</si>
  <si>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</si>
  <si>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</si>
  <si>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</si>
  <si>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</si>
  <si>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</si>
  <si>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</si>
  <si>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</si>
  <si>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</si>
  <si>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</si>
  <si>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</si>
  <si>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</si>
  <si>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</si>
  <si>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</si>
  <si>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</si>
  <si>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</si>
  <si>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</si>
  <si>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</si>
  <si>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</si>
  <si>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</si>
  <si>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</si>
  <si>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</si>
  <si>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</si>
  <si>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</si>
  <si>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</si>
  <si>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</si>
  <si>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</si>
  <si>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</si>
  <si>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</si>
  <si>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</si>
  <si>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</si>
  <si>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</si>
  <si>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</si>
  <si>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</si>
  <si>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</si>
  <si>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</si>
  <si>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</si>
  <si>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</si>
  <si>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</si>
  <si>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</si>
  <si>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</si>
  <si>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</si>
  <si>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</si>
  <si>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</si>
  <si>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</si>
  <si>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</si>
  <si>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</si>
  <si>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</si>
  <si>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</si>
  <si>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</si>
  <si>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</si>
  <si>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</si>
  <si>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</si>
  <si>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</si>
  <si>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</si>
  <si>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</si>
  <si>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</si>
  <si>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</si>
  <si>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</si>
  <si>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</si>
  <si>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</si>
  <si>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</si>
  <si>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</si>
  <si>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</si>
  <si>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</si>
  <si>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</si>
  <si>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</si>
  <si>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</si>
  <si>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</si>
  <si>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</si>
  <si>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</si>
  <si>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</si>
  <si>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</si>
  <si>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</si>
  <si>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</si>
  <si>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</si>
  <si>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</si>
  <si>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</si>
  <si>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</si>
  <si>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</si>
  <si>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</si>
  <si>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</si>
  <si>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</si>
  <si>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</si>
  <si>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</si>
  <si>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</si>
  <si>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</si>
  <si>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</si>
  <si>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</si>
  <si>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</si>
  <si>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</si>
  <si>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</si>
  <si>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</si>
  <si>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</si>
  <si>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</si>
  <si>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</si>
  <si>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</si>
  <si>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</si>
  <si>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</si>
  <si>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</si>
  <si>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</si>
  <si>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</si>
  <si>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</si>
  <si>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</si>
  <si>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</si>
  <si>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</si>
  <si>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</si>
  <si>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</si>
  <si>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</si>
  <si>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</si>
  <si>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</si>
  <si>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</si>
  <si>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</si>
  <si>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</si>
  <si>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</si>
  <si>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</si>
  <si>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</si>
  <si>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</si>
  <si>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</si>
  <si>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</si>
  <si>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</si>
  <si>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</si>
  <si>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</si>
  <si>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</si>
  <si>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</si>
  <si>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</si>
  <si>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</si>
  <si>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</si>
  <si>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</si>
  <si>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</si>
  <si>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</si>
  <si>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</si>
  <si>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</si>
  <si>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</si>
  <si>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</si>
  <si>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</si>
  <si>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</si>
  <si>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</si>
  <si>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</si>
  <si>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</si>
  <si>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</si>
  <si>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</si>
  <si>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</si>
  <si>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</si>
  <si>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</si>
  <si>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</si>
  <si>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</si>
  <si>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</si>
  <si>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</si>
  <si>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</si>
  <si>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</si>
  <si>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</si>
  <si>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</si>
  <si>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</si>
  <si>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</si>
  <si>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</si>
  <si>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</si>
  <si>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</si>
  <si>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</si>
  <si>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</si>
  <si>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</si>
  <si>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</si>
  <si>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</si>
  <si>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</si>
  <si>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</si>
  <si>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</si>
  <si>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</si>
  <si>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</si>
  <si>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</si>
  <si>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</si>
  <si>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</si>
  <si>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</si>
  <si>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</si>
  <si>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</si>
  <si>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</si>
  <si>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</si>
  <si>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</si>
  <si>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</si>
  <si>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</si>
  <si>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</si>
  <si>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</si>
  <si>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</si>
  <si>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</si>
  <si>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</si>
  <si>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</si>
  <si>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</si>
  <si>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</si>
  <si>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</si>
  <si>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</si>
  <si>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</si>
  <si>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</si>
  <si>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</si>
  <si>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</si>
  <si>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</si>
  <si>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</si>
  <si>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</si>
  <si>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</si>
  <si>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</si>
  <si>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</si>
  <si>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</si>
  <si>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</si>
  <si>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</si>
  <si>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</si>
  <si>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</si>
  <si>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</si>
  <si>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</si>
  <si>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</si>
  <si>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</si>
  <si>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</si>
  <si>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</si>
  <si>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</si>
  <si>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</si>
  <si>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</si>
  <si>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</si>
  <si>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</si>
  <si>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</si>
  <si>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</si>
  <si>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</si>
  <si>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</si>
  <si>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</si>
  <si>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</si>
  <si>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</si>
  <si>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</si>
  <si>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</si>
  <si>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</si>
  <si>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</si>
  <si>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</si>
  <si>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</si>
  <si>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</si>
  <si>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</si>
  <si>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</si>
  <si>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</si>
  <si>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</si>
  <si>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</si>
  <si>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</si>
  <si>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</si>
  <si>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</si>
  <si>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</si>
  <si>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</si>
  <si>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</si>
  <si>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</si>
  <si>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</si>
  <si>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</si>
  <si>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</si>
  <si>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</si>
  <si>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</si>
  <si>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</si>
  <si>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</si>
  <si>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</si>
  <si>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</si>
  <si>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</si>
  <si>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</si>
  <si>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</si>
  <si>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</si>
  <si>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</si>
  <si>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</si>
  <si>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</si>
  <si>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</si>
  <si>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</si>
  <si>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</si>
  <si>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</si>
  <si>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</si>
  <si>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</si>
  <si>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</si>
  <si>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</si>
  <si>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</si>
  <si>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</si>
  <si>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</si>
  <si>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</si>
  <si>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</si>
  <si>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</si>
  <si>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</si>
  <si>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</si>
  <si>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</si>
  <si>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</si>
  <si>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</si>
  <si>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</si>
  <si>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</si>
  <si>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</si>
  <si>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</si>
  <si>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</si>
  <si>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</si>
  <si>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</si>
  <si>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</si>
  <si>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</si>
  <si>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</si>
  <si>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</si>
  <si>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</si>
  <si>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</si>
  <si>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</si>
  <si>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</si>
  <si>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</si>
  <si>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</si>
  <si>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</si>
  <si>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</si>
  <si>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</si>
  <si>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</si>
  <si>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</si>
  <si>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</si>
  <si>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</si>
  <si>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</si>
  <si>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</si>
  <si>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</si>
  <si>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</si>
  <si>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</si>
  <si>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</si>
  <si>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</si>
  <si>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</si>
  <si>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</si>
  <si>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</si>
  <si>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</si>
  <si>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</si>
  <si>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</si>
  <si>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</si>
  <si>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</si>
  <si>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</si>
  <si>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</si>
  <si>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</si>
  <si>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</si>
  <si>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</si>
  <si>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</si>
  <si>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</si>
  <si>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</si>
  <si>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</si>
  <si>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</si>
  <si>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</si>
  <si>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</si>
  <si>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</si>
  <si>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</si>
  <si>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</si>
  <si>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</si>
  <si>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</si>
  <si>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</si>
  <si>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</si>
  <si>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</si>
  <si>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</si>
  <si>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</si>
  <si>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</si>
  <si>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</si>
  <si>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</si>
  <si>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</si>
  <si>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</si>
  <si>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</si>
  <si>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</si>
  <si>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</si>
  <si>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</si>
  <si>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</si>
  <si>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</si>
  <si>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</si>
  <si>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</si>
  <si>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</si>
  <si>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</si>
  <si>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</si>
  <si>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</si>
  <si>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</si>
  <si>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</si>
  <si>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</si>
  <si>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</si>
  <si>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</si>
  <si>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</si>
  <si>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</si>
  <si>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</si>
  <si>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</si>
  <si>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</si>
  <si>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</si>
  <si>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</si>
  <si>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</si>
  <si>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</si>
  <si>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</si>
  <si>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</si>
  <si>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</si>
  <si>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</si>
  <si>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</si>
  <si>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</si>
  <si>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</si>
  <si>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</si>
  <si>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</si>
  <si>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</si>
  <si>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</si>
  <si>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</si>
  <si>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</si>
  <si>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</si>
  <si>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</si>
  <si>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</si>
  <si>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</si>
  <si>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</si>
  <si>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</si>
  <si>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</si>
  <si>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</si>
  <si>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</si>
  <si>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</si>
  <si>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</si>
  <si>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</si>
  <si>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</si>
  <si>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</si>
  <si>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</si>
  <si>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</si>
  <si>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</si>
  <si>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</si>
  <si>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</si>
  <si>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</si>
  <si>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</si>
  <si>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</si>
  <si>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</si>
  <si>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</si>
  <si>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</si>
  <si>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</si>
  <si>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</si>
  <si>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</si>
  <si>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</si>
  <si>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</si>
  <si>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</si>
  <si>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</si>
  <si>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</si>
  <si>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</si>
  <si>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</si>
  <si>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</si>
  <si>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</si>
  <si>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</si>
  <si>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</si>
  <si>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</si>
  <si>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</si>
  <si>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</si>
  <si>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</si>
  <si>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</si>
  <si>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</si>
  <si>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</si>
  <si>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</si>
  <si>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</si>
  <si>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</si>
  <si>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</si>
  <si>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</si>
  <si>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</si>
  <si>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</si>
  <si>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</si>
  <si>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</si>
  <si>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</si>
  <si>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</si>
  <si>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</si>
  <si>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</si>
  <si>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</si>
  <si>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</si>
  <si>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</si>
  <si>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</si>
  <si>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</si>
  <si>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</si>
  <si>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</si>
  <si>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</si>
  <si>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</si>
  <si>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</si>
  <si>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</si>
  <si>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</si>
  <si>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</si>
  <si>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</si>
  <si>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</si>
  <si>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</si>
  <si>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</si>
  <si>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</si>
  <si>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</si>
  <si>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</si>
  <si>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</si>
  <si>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</si>
  <si>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</si>
  <si>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</si>
  <si>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</si>
  <si>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</si>
  <si>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</si>
  <si>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</si>
  <si>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</si>
  <si>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</si>
  <si>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</si>
  <si>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</si>
  <si>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</si>
  <si>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</si>
  <si>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</si>
  <si>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</si>
  <si>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</si>
  <si>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</si>
  <si>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</si>
  <si>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</si>
  <si>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</si>
  <si>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</si>
  <si>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</si>
  <si>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</si>
  <si>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</si>
  <si>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</si>
  <si>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</si>
  <si>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</si>
  <si>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</si>
  <si>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</si>
  <si>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</si>
  <si>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</si>
  <si>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</si>
  <si>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</si>
  <si>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</si>
  <si>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</si>
  <si>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</si>
  <si>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</si>
  <si>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</si>
  <si>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</si>
  <si>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</si>
  <si>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</si>
  <si>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</si>
  <si>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</si>
  <si>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</si>
  <si>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</si>
  <si>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</si>
  <si>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</si>
  <si>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</si>
  <si>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</si>
  <si>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</si>
  <si>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</si>
  <si>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</si>
  <si>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</si>
  <si>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</si>
  <si>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</si>
  <si>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</si>
  <si>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</si>
  <si>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</si>
  <si>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</si>
  <si>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</si>
  <si>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</si>
  <si>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</si>
  <si>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</si>
  <si>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</si>
  <si>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</si>
  <si>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</si>
  <si>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</si>
  <si>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</si>
  <si>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</si>
  <si>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</si>
  <si>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</si>
  <si>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</si>
  <si>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</si>
  <si>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</si>
  <si>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</si>
  <si>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</si>
  <si>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</si>
  <si>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</si>
  <si>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</si>
  <si>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</si>
  <si>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</si>
  <si>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</si>
  <si>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</si>
  <si>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</si>
  <si>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</si>
  <si>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</si>
  <si>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</si>
  <si>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</si>
  <si>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</si>
  <si>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</si>
  <si>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</si>
  <si>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</si>
  <si>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</si>
  <si>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</si>
  <si>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</si>
  <si>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</si>
  <si>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</si>
  <si>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</si>
  <si>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</si>
  <si>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</si>
  <si>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</si>
  <si>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</si>
  <si>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</si>
  <si>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</si>
  <si>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</si>
  <si>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</si>
  <si>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</si>
  <si>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</si>
  <si>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</si>
  <si>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</si>
  <si>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</si>
  <si>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</si>
  <si>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</si>
  <si>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</si>
  <si>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</si>
  <si>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</si>
  <si>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</si>
  <si>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</si>
  <si>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</si>
  <si>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</si>
  <si>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</si>
  <si>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</si>
  <si>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</si>
  <si>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</si>
  <si>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</si>
  <si>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</si>
  <si>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</si>
  <si>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</si>
  <si>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</si>
  <si>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</si>
  <si>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</si>
  <si>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</si>
  <si>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</si>
  <si>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</si>
  <si>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</si>
  <si>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</si>
  <si>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</si>
  <si>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</si>
  <si>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</si>
  <si>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</si>
  <si>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</si>
  <si>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</si>
  <si>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</si>
  <si>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</si>
  <si>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</si>
  <si>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</si>
  <si>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</si>
  <si>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</si>
  <si>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</si>
  <si>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</si>
  <si>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</si>
  <si>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</si>
  <si>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</si>
  <si>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</si>
  <si>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</si>
  <si>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</si>
  <si>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</si>
  <si>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</si>
  <si>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</si>
  <si>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</si>
  <si>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</si>
  <si>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</si>
  <si>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</si>
  <si>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</si>
  <si>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</si>
  <si>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</si>
  <si>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</si>
  <si>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</si>
  <si>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</si>
  <si>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</si>
  <si>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</si>
  <si>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</si>
  <si>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</si>
  <si>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</si>
  <si>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</si>
  <si>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</si>
  <si>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</si>
  <si>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</si>
  <si>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</si>
  <si>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</si>
  <si>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</si>
  <si>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</si>
  <si>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</si>
  <si>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</si>
  <si>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</si>
  <si>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</si>
  <si>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</si>
  <si>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</si>
  <si>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</si>
  <si>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</si>
  <si>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</si>
  <si>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</si>
  <si>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</si>
  <si>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</si>
  <si>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</si>
  <si>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</si>
  <si>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</si>
  <si>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</si>
  <si>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</si>
  <si>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</si>
  <si>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</si>
  <si>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</si>
  <si>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</si>
  <si>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</si>
  <si>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</si>
  <si>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</si>
  <si>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</si>
  <si>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</si>
  <si>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</si>
  <si>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</si>
  <si>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</si>
  <si>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</si>
  <si>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</si>
  <si>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</si>
  <si>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</si>
  <si>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</si>
  <si>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</si>
  <si>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</si>
  <si>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</si>
  <si>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</si>
  <si>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</si>
  <si>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</si>
  <si>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</si>
  <si>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</si>
  <si>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</si>
  <si>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</si>
  <si>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</si>
  <si>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</si>
  <si>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</si>
  <si>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</si>
  <si>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</si>
  <si>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</si>
  <si>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</si>
  <si>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</si>
  <si>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</si>
  <si>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</si>
  <si>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</si>
  <si>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</si>
  <si>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</si>
  <si>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</si>
  <si>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</si>
  <si>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</si>
  <si>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</si>
  <si>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</si>
  <si>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</si>
  <si>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</si>
  <si>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</si>
  <si>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</si>
  <si>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</si>
  <si>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</si>
  <si>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</si>
  <si>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</si>
  <si>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</si>
  <si>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</si>
  <si>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</si>
  <si>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</si>
  <si>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</si>
  <si>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</si>
  <si>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</si>
  <si>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</si>
  <si>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</si>
  <si>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</si>
  <si>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</si>
  <si>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</si>
  <si>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</si>
  <si>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</si>
  <si>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</si>
  <si>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</si>
  <si>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</si>
  <si>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</si>
  <si>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</si>
  <si>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</si>
  <si>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</si>
  <si>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</si>
  <si>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</si>
  <si>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</si>
  <si>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</si>
  <si>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</si>
  <si>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</si>
  <si>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</si>
  <si>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</si>
  <si>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</si>
  <si>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</si>
  <si>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</si>
  <si>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</si>
  <si>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</si>
  <si>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</si>
  <si>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</si>
  <si>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</si>
  <si>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</si>
  <si>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</si>
  <si>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</si>
  <si>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</si>
  <si>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</si>
  <si>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</si>
  <si>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</si>
  <si>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</si>
  <si>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</si>
  <si>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</si>
  <si>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</si>
  <si>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</si>
  <si>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</si>
  <si>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</si>
  <si>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</si>
  <si>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</si>
  <si>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</si>
  <si>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</si>
  <si>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</si>
  <si>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</si>
  <si>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</si>
  <si>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</si>
  <si>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</si>
  <si>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</si>
  <si>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</si>
  <si>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</si>
  <si>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</si>
  <si>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</si>
  <si>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</si>
  <si>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</si>
  <si>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</si>
  <si>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</si>
  <si>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</si>
  <si>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</si>
  <si>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</si>
  <si>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</si>
  <si>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</si>
  <si>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</si>
  <si>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</si>
  <si>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</si>
  <si>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</si>
  <si>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</si>
  <si>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</si>
  <si>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</si>
  <si>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</si>
  <si>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</si>
  <si>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</si>
  <si>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</si>
  <si>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</si>
  <si>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</si>
  <si>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</si>
  <si>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</si>
  <si>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</si>
  <si>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</si>
  <si>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</si>
  <si>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</si>
  <si>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</si>
  <si>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</si>
  <si>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</si>
  <si>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</si>
  <si>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</si>
  <si>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</si>
  <si>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</si>
  <si>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</si>
  <si>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</si>
  <si>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</si>
  <si>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</si>
  <si>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</si>
  <si>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</si>
  <si>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</si>
  <si>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</si>
  <si>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</si>
  <si>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</si>
  <si>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</si>
  <si>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</si>
  <si>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</si>
  <si>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</si>
  <si>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</si>
  <si>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</si>
  <si>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</si>
  <si>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</si>
  <si>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</si>
  <si>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</si>
  <si>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</si>
  <si>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</si>
  <si>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</si>
  <si>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</si>
  <si>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</si>
  <si>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</si>
  <si>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</si>
  <si>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</si>
  <si>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</si>
  <si>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</si>
  <si>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</si>
  <si>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</si>
  <si>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</si>
  <si>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</si>
  <si>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</si>
  <si>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</si>
  <si>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</si>
  <si>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</si>
  <si>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</si>
  <si>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</si>
  <si>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</si>
  <si>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</si>
  <si>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</si>
  <si>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</si>
  <si>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</si>
  <si>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</si>
  <si>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</si>
  <si>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</si>
  <si>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</si>
  <si>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</si>
  <si>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</si>
  <si>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</si>
  <si>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</si>
  <si>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</si>
  <si>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P1025A-07.00+1.00</t>
  </si>
  <si>
    <t>A, -07.00, +1.00</t>
  </si>
  <si>
    <t>GDW211</t>
  </si>
  <si>
    <t>S20260423-211-A</t>
  </si>
  <si>
    <t>P1102</t>
  </si>
  <si>
    <t>P1102A-01.25</t>
  </si>
  <si>
    <t>1-DAY_58_이탈리아 Esoform Visiosan_Bioxi</t>
  </si>
  <si>
    <t>GD0172</t>
  </si>
  <si>
    <t>A20260430-172</t>
  </si>
  <si>
    <t>P1158</t>
  </si>
  <si>
    <t>P1158A-00.75SBA3</t>
  </si>
  <si>
    <t>PIA(CoFANCY) D_Silver Bagel_55% UV 14.5</t>
  </si>
  <si>
    <t>A, -00.75, SBA, 3</t>
  </si>
  <si>
    <t>OH06</t>
  </si>
  <si>
    <t>GFR092</t>
  </si>
  <si>
    <t>C20260618-092</t>
  </si>
  <si>
    <t>1-Day_Color_Sph_Fix</t>
  </si>
  <si>
    <t>P1158A-01.50SBA3</t>
  </si>
  <si>
    <t>A, -01.50, SBA, 3</t>
  </si>
  <si>
    <t>GFU432</t>
  </si>
  <si>
    <t>C20260621-432</t>
  </si>
  <si>
    <t>P1158A-02.00SBA3</t>
  </si>
  <si>
    <t>A, -02.00, SBA, 3</t>
  </si>
  <si>
    <t>GFV134</t>
  </si>
  <si>
    <t>C20260622-134</t>
  </si>
  <si>
    <t>P1158A-02.50SBA3</t>
  </si>
  <si>
    <t>A, -02.50, SBA, 3</t>
  </si>
  <si>
    <t>GFT499</t>
  </si>
  <si>
    <t>C20260620-499</t>
  </si>
  <si>
    <t>P1158A-03.25SBA3</t>
  </si>
  <si>
    <t>A, -03.25, SBA, 3</t>
  </si>
  <si>
    <t>GFS099</t>
  </si>
  <si>
    <t>C20260619-099</t>
  </si>
  <si>
    <t>P1158A-03.75SBA3</t>
  </si>
  <si>
    <t>A, -03.75, SBA, 3</t>
  </si>
  <si>
    <t>GFR381</t>
  </si>
  <si>
    <t>C20260618-381</t>
  </si>
  <si>
    <t>P1158A-04.00SBA3</t>
  </si>
  <si>
    <t>A, -04.00, SBA, 3</t>
  </si>
  <si>
    <t>GFR383</t>
  </si>
  <si>
    <t>C20260618-383</t>
  </si>
  <si>
    <t>P1158A-04.25SBA3</t>
  </si>
  <si>
    <t>A, -04.25, SBA, 3</t>
  </si>
  <si>
    <t>GFU438</t>
  </si>
  <si>
    <t>C20260621-438</t>
  </si>
  <si>
    <t>P1158A-04.50SBA3</t>
  </si>
  <si>
    <t>A, -04.50, SBA, 3</t>
  </si>
  <si>
    <t>GFU436</t>
  </si>
  <si>
    <t>C20260621-436</t>
  </si>
  <si>
    <t>P1158A-04.75SBA3</t>
  </si>
  <si>
    <t>A, -04.75, SBA, 3</t>
  </si>
  <si>
    <t>GFU435</t>
  </si>
  <si>
    <t>C20260621-435</t>
  </si>
  <si>
    <t>P1158A-05.50SBA3</t>
  </si>
  <si>
    <t>A, -05.50, SBA, 3</t>
  </si>
  <si>
    <t>GFU407</t>
  </si>
  <si>
    <t>C20260621-407</t>
  </si>
  <si>
    <t>P1158A-06.00SBA3</t>
  </si>
  <si>
    <t>A, -06.00, SBA, 3</t>
  </si>
  <si>
    <t>GFR534</t>
  </si>
  <si>
    <t>C20260618-534</t>
  </si>
  <si>
    <t>P1158A-07.00SBA3</t>
  </si>
  <si>
    <t>A, -07.00, SBA, 3</t>
  </si>
  <si>
    <t>GFT005</t>
  </si>
  <si>
    <t>C20260620-005</t>
  </si>
  <si>
    <t>P1158A-07.50SBA3</t>
  </si>
  <si>
    <t>A, -07.50, SBA, 3</t>
  </si>
  <si>
    <t>GFT458</t>
  </si>
  <si>
    <t>C20260620-458</t>
  </si>
  <si>
    <t>GFQ536</t>
  </si>
  <si>
    <t>S20260617-536</t>
  </si>
  <si>
    <t>GFL017</t>
  </si>
  <si>
    <t>S20260612-017</t>
  </si>
  <si>
    <t>GFL160</t>
  </si>
  <si>
    <t>S20260612-160</t>
  </si>
  <si>
    <t>GFI121</t>
  </si>
  <si>
    <t>S20260609-121</t>
  </si>
  <si>
    <t>GFK139</t>
  </si>
  <si>
    <t>S20260611-139</t>
  </si>
  <si>
    <t>GFD224</t>
  </si>
  <si>
    <t>S20260604-224</t>
  </si>
  <si>
    <t>GFF147</t>
  </si>
  <si>
    <t>S20260606-147</t>
  </si>
  <si>
    <t>GFF468</t>
  </si>
  <si>
    <t>S20260606-468</t>
  </si>
  <si>
    <t>GFG159</t>
  </si>
  <si>
    <t>S20260607-159</t>
  </si>
  <si>
    <t>GEZ521</t>
  </si>
  <si>
    <t>S20260526-521</t>
  </si>
  <si>
    <t>GCO216</t>
  </si>
  <si>
    <t>S20260315-216</t>
  </si>
  <si>
    <t>GDA400</t>
  </si>
  <si>
    <t>S20260401-400</t>
  </si>
  <si>
    <t>GEZ520</t>
  </si>
  <si>
    <t>S20260526-520</t>
  </si>
  <si>
    <t>GFA245</t>
  </si>
  <si>
    <t>S20260601-245</t>
  </si>
  <si>
    <t>GFH128</t>
  </si>
  <si>
    <t>S20260608-128</t>
  </si>
  <si>
    <t>GFG179</t>
  </si>
  <si>
    <t>S20260607-179</t>
  </si>
  <si>
    <t>GFH130</t>
  </si>
  <si>
    <t>S20260608-130</t>
  </si>
  <si>
    <t>GFH134</t>
  </si>
  <si>
    <t>S20260608-134</t>
  </si>
  <si>
    <t>GFJ211</t>
  </si>
  <si>
    <t>S20260610-211</t>
  </si>
  <si>
    <t>GFC300</t>
  </si>
  <si>
    <t>S20260603-300</t>
  </si>
  <si>
    <t>GFC079</t>
  </si>
  <si>
    <t>S20260603-079</t>
  </si>
  <si>
    <t>GFD232</t>
  </si>
  <si>
    <t>S20260604-232</t>
  </si>
  <si>
    <t>GFD235</t>
  </si>
  <si>
    <t>S20260604-235</t>
  </si>
  <si>
    <t>GFD442</t>
  </si>
  <si>
    <t>S20260604-442</t>
  </si>
  <si>
    <t>GFC479</t>
  </si>
  <si>
    <t>S20260603-479</t>
  </si>
  <si>
    <t>GFE244</t>
  </si>
  <si>
    <t>S20260605-244</t>
  </si>
  <si>
    <t>GFE247</t>
  </si>
  <si>
    <t>S20260605-247</t>
  </si>
  <si>
    <t>GFB276</t>
  </si>
  <si>
    <t>S20260602-276</t>
  </si>
  <si>
    <t>GFH063</t>
  </si>
  <si>
    <t>S20260608-063</t>
  </si>
  <si>
    <t>P7032</t>
  </si>
  <si>
    <t>P7032A-05.75CMB</t>
  </si>
  <si>
    <t>PIA D_Cinnamon Brown_38% UV</t>
  </si>
  <si>
    <t>A, -05.75, CMB, 2</t>
  </si>
  <si>
    <t>GFJ396</t>
  </si>
  <si>
    <t>C20260610-396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</si>
  <si>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</si>
  <si>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</si>
  <si>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</si>
  <si>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</si>
  <si>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</si>
  <si>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</si>
  <si>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</si>
  <si>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</si>
  <si>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</si>
  <si>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P3505</t>
  </si>
  <si>
    <t>P3505A-01.00+1.00</t>
  </si>
  <si>
    <t>ZOOM D_ADD+1.00</t>
  </si>
  <si>
    <t>A, -01.00, +1.00</t>
  </si>
  <si>
    <t>EDD595</t>
  </si>
  <si>
    <t>A20240404-595-C3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</si>
  <si>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</si>
  <si>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</si>
  <si>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</si>
  <si>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</si>
  <si>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</si>
  <si>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</si>
  <si>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</si>
  <si>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</si>
  <si>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</si>
  <si>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</si>
  <si>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</si>
  <si>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</si>
  <si>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</si>
  <si>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</si>
  <si>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</si>
  <si>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</si>
  <si>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</si>
  <si>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</si>
  <si>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</si>
  <si>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</si>
  <si>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</si>
  <si>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S291-07.00</t>
  </si>
  <si>
    <t>S292-07.00</t>
  </si>
  <si>
    <t>S293-01.25</t>
  </si>
  <si>
    <t>S295-01.25</t>
  </si>
  <si>
    <t>S309</t>
    <phoneticPr fontId="1" type="noConversion"/>
  </si>
  <si>
    <t>S318</t>
    <phoneticPr fontId="1" type="noConversion"/>
  </si>
  <si>
    <t>S320</t>
    <phoneticPr fontId="1" type="noConversion"/>
  </si>
  <si>
    <t>S129</t>
    <phoneticPr fontId="1" type="noConversion"/>
  </si>
  <si>
    <t>S172</t>
    <phoneticPr fontId="1" type="noConversion"/>
  </si>
  <si>
    <t>S524</t>
    <phoneticPr fontId="1" type="noConversion"/>
  </si>
  <si>
    <t>AA01</t>
  </si>
  <si>
    <t>2026-06-30 오전 8:32:53</t>
  </si>
  <si>
    <t>DA0234</t>
  </si>
  <si>
    <t>2026-06-30 오전 8:32:47</t>
  </si>
  <si>
    <t>DA0247</t>
  </si>
  <si>
    <t>2026-06-30 오전 8:32:52</t>
  </si>
  <si>
    <t>2026-06-30 오전 8:32:43</t>
  </si>
  <si>
    <t>2026-06-30 오전 8:32:49</t>
  </si>
  <si>
    <t>2026-06-30 오전 8:32:56</t>
  </si>
  <si>
    <t>2026-06-30 오전 8:33:01</t>
  </si>
  <si>
    <t>2026-06-30 오전 8:32:44</t>
  </si>
  <si>
    <t>2026-06-30 오전 8:32:55</t>
  </si>
  <si>
    <t>2026-06-30 오전 8:32:46</t>
  </si>
  <si>
    <t>2026-06-30 오전 8:32:58</t>
  </si>
  <si>
    <t>2026-06-30 오전 8:33:04</t>
  </si>
  <si>
    <t>DA0070</t>
  </si>
  <si>
    <t>2026-06-30 오전 8:32:50</t>
  </si>
  <si>
    <t>DA0228</t>
  </si>
  <si>
    <t>DA0246</t>
  </si>
  <si>
    <t>2026-06-30 오전 8:32:59</t>
  </si>
  <si>
    <t>2026-06-30 오전 8:33:03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</si>
  <si>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</si>
  <si>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</si>
  <si>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</si>
  <si>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</si>
  <si>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</si>
  <si>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</si>
  <si>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</si>
  <si>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</si>
  <si>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</si>
  <si>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</si>
  <si>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</si>
  <si>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</si>
  <si>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</si>
  <si>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2026-06-30 오전 8:33:00</t>
  </si>
  <si>
    <t>DA0224</t>
  </si>
  <si>
    <t>DA0249</t>
  </si>
  <si>
    <t>DA0231</t>
  </si>
  <si>
    <t>2026-06-30 오전 8:32:42</t>
  </si>
  <si>
    <t>DA0235</t>
  </si>
  <si>
    <t>2026-06-30 오전 8:32:45</t>
  </si>
  <si>
    <t>DA0238</t>
  </si>
  <si>
    <t>DA0252</t>
  </si>
  <si>
    <t>DA0259</t>
  </si>
  <si>
    <t>2026-06-30 오전 8:32:54</t>
  </si>
  <si>
    <t>2026-06-30 오전 8:32:51</t>
  </si>
  <si>
    <t>2026-06-30 오전 8:32:48</t>
  </si>
  <si>
    <t>2026-06-30 오전 8:32:57</t>
  </si>
  <si>
    <t>2026-06-30 오전 8:33:02</t>
  </si>
  <si>
    <t>S080-00.00</t>
  </si>
  <si>
    <t>2026-06-30 오전 8:33:05</t>
  </si>
  <si>
    <t>S863-00.75</t>
  </si>
  <si>
    <t>GFI352</t>
  </si>
  <si>
    <t>S20260609-352</t>
  </si>
  <si>
    <t>GFI353</t>
  </si>
  <si>
    <t>S20260609-353</t>
  </si>
  <si>
    <t>GFI354</t>
  </si>
  <si>
    <t>S20260609-354</t>
  </si>
  <si>
    <t>GFI356</t>
  </si>
  <si>
    <t>S20260609-356</t>
  </si>
  <si>
    <t>GFI357</t>
  </si>
  <si>
    <t>S20260609-357</t>
  </si>
  <si>
    <t>GFI358</t>
  </si>
  <si>
    <t>S20260609-358</t>
  </si>
  <si>
    <t>GFI359</t>
  </si>
  <si>
    <t>S20260609-359</t>
  </si>
  <si>
    <t>GFP524</t>
  </si>
  <si>
    <t>S20260616-524</t>
  </si>
  <si>
    <t>GFJ107</t>
  </si>
  <si>
    <t>S20260610-107</t>
  </si>
  <si>
    <t>GFJ108</t>
  </si>
  <si>
    <t>S20260610-108</t>
  </si>
  <si>
    <t>GFJ109</t>
  </si>
  <si>
    <t>S20260610-109</t>
  </si>
  <si>
    <t>GFJ110</t>
  </si>
  <si>
    <t>S20260610-110</t>
  </si>
  <si>
    <t>P0514</t>
  </si>
  <si>
    <t>P0514A-00.00BLJ</t>
  </si>
  <si>
    <t>PIA D_Blueberry Jam_55% UV</t>
  </si>
  <si>
    <t>A, -00.00, BLJ, 3</t>
  </si>
  <si>
    <t>FLQ176</t>
  </si>
  <si>
    <t>C20251217-176</t>
  </si>
  <si>
    <t>P0514A-07.50BLJ</t>
  </si>
  <si>
    <t>A, -07.50, BLJ, 3</t>
  </si>
  <si>
    <t>FLQ195</t>
  </si>
  <si>
    <t>C20251217-195</t>
  </si>
  <si>
    <t>P3128A-00.00STS2</t>
  </si>
  <si>
    <t>A, -00.00, STS, 2</t>
  </si>
  <si>
    <t>GEE076</t>
  </si>
  <si>
    <t>C20260505-076</t>
  </si>
  <si>
    <t>P3128A-07.50STS2</t>
  </si>
  <si>
    <t>A, -07.50, STS, 2</t>
  </si>
  <si>
    <t>OG33</t>
  </si>
  <si>
    <t>DIL261</t>
  </si>
  <si>
    <t>C20230912-261</t>
  </si>
  <si>
    <t>P5282</t>
  </si>
  <si>
    <t>P5282A-00.00ZUN</t>
  </si>
  <si>
    <t>PIA D_ZUNDA MOCHI_55% UV</t>
  </si>
  <si>
    <t>A, -00.00, ZUN, 3</t>
  </si>
  <si>
    <t>GEW293</t>
  </si>
  <si>
    <t>C20260523-293</t>
  </si>
  <si>
    <t>P5282A-07.50ZUN</t>
  </si>
  <si>
    <t>A, -07.50, ZUN, 3</t>
  </si>
  <si>
    <t>OG86</t>
  </si>
  <si>
    <t>FID165</t>
  </si>
  <si>
    <t>C20250904-165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</si>
</sst>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8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31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30">
      <pivotArea outline="0" collapsedLevelsAreSubtotals="1" fieldPosition="0"/>
    </format>
    <format dxfId="729">
      <pivotArea outline="0" collapsedLevelsAreSubtotals="1" fieldPosition="0"/>
    </format>
    <format dxfId="728">
      <pivotArea field="5" type="button" dataOnly="0" labelOnly="1" outline="0" axis="axisRow" fieldPosition="0"/>
    </format>
    <format dxfId="727">
      <pivotArea dataOnly="0" labelOnly="1" fieldPosition="0">
        <references count="1">
          <reference field="5" count="0"/>
        </references>
      </pivotArea>
    </format>
    <format dxfId="726">
      <pivotArea dataOnly="0" labelOnly="1" grandRow="1" outline="0" fieldPosition="0"/>
    </format>
    <format dxfId="725">
      <pivotArea dataOnly="0" labelOnly="1" fieldPosition="0">
        <references count="1">
          <reference field="6" count="0"/>
        </references>
      </pivotArea>
    </format>
    <format dxfId="7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E4" sqref="E4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2" t="s">
        <v>2923</v>
      </c>
      <c r="B1" s="542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7"/>
      <c r="AN1" s="548"/>
      <c r="AO1" s="548"/>
      <c r="AP1" s="549"/>
      <c r="AQ1" s="550"/>
      <c r="AR1" s="550"/>
      <c r="AS1" s="189"/>
      <c r="AT1" s="551"/>
      <c r="AU1" s="551"/>
      <c r="AV1" s="551"/>
      <c r="AW1" s="551"/>
      <c r="AX1" s="551"/>
      <c r="AY1" s="551"/>
      <c r="AZ1" s="551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8822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0">
        <f ca="1">TODAY()</f>
        <v>46203</v>
      </c>
      <c r="AP2" s="559"/>
      <c r="AQ2" s="559"/>
      <c r="AR2" s="559"/>
      <c r="AS2" s="559"/>
      <c r="AT2" s="559"/>
      <c r="AU2" s="559"/>
      <c r="AV2" s="559"/>
      <c r="AW2" s="559"/>
      <c r="AX2" s="559"/>
      <c r="AY2" s="559"/>
      <c r="AZ2" s="559"/>
      <c r="BA2" s="559"/>
      <c r="BB2" s="559"/>
      <c r="BC2" s="559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60"/>
      <c r="BY2" s="557">
        <f ca="1">TODAY()-1</f>
        <v>46202</v>
      </c>
      <c r="BZ2" s="558"/>
      <c r="CA2" s="558"/>
      <c r="CB2" s="558"/>
      <c r="CC2" s="558"/>
      <c r="CD2" s="558"/>
      <c r="CE2" s="558"/>
      <c r="CF2" s="558"/>
      <c r="CG2" s="558"/>
      <c r="CH2" s="558"/>
      <c r="CI2" s="558"/>
      <c r="CJ2" s="558"/>
      <c r="CK2" s="558"/>
      <c r="CL2" s="558"/>
      <c r="CM2" s="558"/>
      <c r="CN2" s="558"/>
      <c r="CO2" s="558"/>
      <c r="CP2" s="558"/>
      <c r="CQ2" s="558"/>
      <c r="CR2" s="558"/>
      <c r="CS2" s="558"/>
      <c r="CT2" s="558"/>
      <c r="CU2" s="558"/>
      <c r="CV2" s="558"/>
      <c r="CW2" s="558"/>
      <c r="CX2" s="558"/>
      <c r="CY2" s="558"/>
      <c r="CZ2" s="558"/>
      <c r="DA2" s="558"/>
      <c r="DB2" s="558"/>
      <c r="DC2" s="558"/>
      <c r="DD2" s="558"/>
      <c r="DE2" s="558"/>
      <c r="DF2" s="558"/>
      <c r="DG2" s="558"/>
      <c r="DH2" s="558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6134</v>
      </c>
      <c r="C3" s="164">
        <f>SUMIF(WMS용마재고!$A:$A,"S174-00.00", WMS용마재고!$L:$L)</f>
        <v>831</v>
      </c>
      <c r="D3" s="162"/>
      <c r="E3" s="162"/>
      <c r="F3" s="164">
        <f>SUMIF(WMS용마재고!$A:$A,"S174-01.00", WMS용마재고!$L:$L)</f>
        <v>588</v>
      </c>
      <c r="G3" s="164">
        <f>SUMIF(WMS용마재고!$A:$A,"S174-01.25", WMS용마재고!$L:$L)</f>
        <v>762</v>
      </c>
      <c r="H3" s="164">
        <f>SUMIF(WMS용마재고!$A:$A,"S174-01.50", WMS용마재고!$L:$L)</f>
        <v>622</v>
      </c>
      <c r="I3" s="164">
        <f>SUMIF(WMS용마재고!$A:$A,"S174-01.75", WMS용마재고!$L:$L)</f>
        <v>599</v>
      </c>
      <c r="J3" s="164">
        <f>SUMIF(WMS용마재고!$A:$A,"S174-02.00", WMS용마재고!$L:$L)</f>
        <v>556</v>
      </c>
      <c r="K3" s="164">
        <f>SUMIF(WMS용마재고!$A:$A,"S174-02.25", WMS용마재고!$L:$L)</f>
        <v>606</v>
      </c>
      <c r="L3" s="164">
        <f>SUMIF(WMS용마재고!$A:$A,"S174-02.50", WMS용마재고!$L:$L)</f>
        <v>1141</v>
      </c>
      <c r="M3" s="164">
        <f>SUMIF(WMS용마재고!$A:$A,"S174-02.75", WMS용마재고!$L:$L)</f>
        <v>581</v>
      </c>
      <c r="N3" s="164">
        <f>SUMIF(WMS용마재고!$A:$A,"S174-03.00", WMS용마재고!$L:$L)</f>
        <v>605</v>
      </c>
      <c r="O3" s="164">
        <f>SUMIF(WMS용마재고!$A:$A,"S174-03.25", WMS용마재고!$L:$L)</f>
        <v>724</v>
      </c>
      <c r="P3" s="164">
        <f>SUMIF(WMS용마재고!$A:$A,"S174-03.50", WMS용마재고!$L:$L)</f>
        <v>766</v>
      </c>
      <c r="Q3" s="164">
        <f>SUMIF(WMS용마재고!$A:$A,"S174-03.75", WMS용마재고!$L:$L)</f>
        <v>686</v>
      </c>
      <c r="R3" s="164">
        <f>SUMIF(WMS용마재고!$A:$A,"S174-04.00", WMS용마재고!$L:$L)</f>
        <v>575</v>
      </c>
      <c r="S3" s="164">
        <f>SUMIF(WMS용마재고!$A:$A,"S174-04.25", WMS용마재고!$L:$L)</f>
        <v>584</v>
      </c>
      <c r="T3" s="164">
        <f>SUMIF(WMS용마재고!$A:$A,"S174-04.50", WMS용마재고!$L:$L)</f>
        <v>587</v>
      </c>
      <c r="U3" s="164">
        <f>SUMIF(WMS용마재고!$A:$A,"S174-04.75", WMS용마재고!$L:$L)</f>
        <v>585</v>
      </c>
      <c r="V3" s="167">
        <f>SUMIF(WMS용마재고!$A:$A,"S174-05.00", WMS용마재고!$L:$L)</f>
        <v>593</v>
      </c>
      <c r="W3" s="162"/>
      <c r="X3" s="167">
        <f>SUMIF(WMS용마재고!$A:$A,"S174-05.50", WMS용마재고!$L:$L)</f>
        <v>613</v>
      </c>
      <c r="Y3" s="162"/>
      <c r="Z3" s="164">
        <f>SUMIF(WMS용마재고!$A:$A,"S174-06.00", WMS용마재고!$L:$L)</f>
        <v>616</v>
      </c>
      <c r="AA3" s="164">
        <f>SUMIF(WMS용마재고!$A:$A,"S174-06.50", WMS용마재고!$L:$L)</f>
        <v>622</v>
      </c>
      <c r="AB3" s="164">
        <f>SUMIF(WMS용마재고!$A:$A,"S174-07.00", WMS용마재고!$L:$L)</f>
        <v>537</v>
      </c>
      <c r="AC3" s="164">
        <f>SUMIF(WMS용마재고!$A:$A,"S174-07.50", WMS용마재고!$L:$L)</f>
        <v>670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831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588</v>
      </c>
      <c r="AS3" s="336">
        <f>SUMIF(WMS용마재고!$A:$A,"S174-01.25", WMS용마재고!$L:$L)</f>
        <v>762</v>
      </c>
      <c r="AT3" s="336">
        <f>SUMIF(WMS용마재고!$A:$A,"S174-01.50", WMS용마재고!$L:$L)</f>
        <v>622</v>
      </c>
      <c r="AU3" s="336">
        <f>SUMIF(WMS용마재고!$A:$A,"S174-01.75", WMS용마재고!$L:$L)</f>
        <v>599</v>
      </c>
      <c r="AV3" s="336">
        <f>SUMIF(WMS용마재고!$A:$A,"S174-02.00", WMS용마재고!$L:$L)</f>
        <v>556</v>
      </c>
      <c r="AW3" s="336">
        <f>SUMIF(WMS용마재고!$A:$A,"S174-02.25", WMS용마재고!$L:$L)</f>
        <v>606</v>
      </c>
      <c r="AX3" s="336">
        <f>SUMIF(WMS용마재고!$A:$A,"S174-02.50", WMS용마재고!$L:$L)</f>
        <v>1141</v>
      </c>
      <c r="AY3" s="336">
        <f>SUMIF(WMS용마재고!$A:$A,"S174-02.75", WMS용마재고!$L:$L)</f>
        <v>581</v>
      </c>
      <c r="AZ3" s="336">
        <f>SUMIF(WMS용마재고!$A:$A,"S174-03.00", WMS용마재고!$L:$L)</f>
        <v>605</v>
      </c>
      <c r="BA3" s="336">
        <f>SUMIF(WMS용마재고!$A:$A,"S174-03.25", WMS용마재고!$L:$L)</f>
        <v>724</v>
      </c>
      <c r="BB3" s="336">
        <f>SUMIF(WMS용마재고!$A:$A,"S174-03.50", WMS용마재고!$L:$L)</f>
        <v>766</v>
      </c>
      <c r="BC3" s="336">
        <f>SUMIF(WMS용마재고!$A:$A,"S174-03.75", WMS용마재고!$L:$L)</f>
        <v>686</v>
      </c>
      <c r="BD3" s="336">
        <f>SUMIF(WMS용마재고!$A:$A,"S174-04.00", WMS용마재고!$L:$L)</f>
        <v>575</v>
      </c>
      <c r="BE3" s="336">
        <f>SUMIF(WMS용마재고!$A:$A,"S174-04.25", WMS용마재고!$L:$L)</f>
        <v>584</v>
      </c>
      <c r="BF3" s="336">
        <f>SUMIF(WMS용마재고!$A:$A,"S174-04.50", WMS용마재고!$L:$L)</f>
        <v>587</v>
      </c>
      <c r="BG3" s="336">
        <f>SUMIF(WMS용마재고!$A:$A,"S174-04.75", WMS용마재고!$L:$L)</f>
        <v>585</v>
      </c>
      <c r="BH3" s="336">
        <f>SUMIF(WMS용마재고!$A:$A,"S174-05.00", WMS용마재고!$L:$L)</f>
        <v>593</v>
      </c>
      <c r="BI3" s="336">
        <f>SUMIF(WMS용마재고!$A:$A,"S174-05.25", WMS용마재고!$L:$L)</f>
        <v>0</v>
      </c>
      <c r="BJ3" s="336">
        <f>SUMIF(WMS용마재고!$A:$A,"S174-05.50", WMS용마재고!$L:$L)</f>
        <v>613</v>
      </c>
      <c r="BK3" s="336">
        <f>SUMIF(WMS용마재고!$A:$A,"S174-05.75", WMS용마재고!$L:$L)</f>
        <v>0</v>
      </c>
      <c r="BL3" s="336">
        <f>SUMIF(WMS용마재고!$A:$A,"S174-06.00", WMS용마재고!$L:$L)</f>
        <v>616</v>
      </c>
      <c r="BM3" s="336">
        <f>SUMIF(WMS용마재고!$A:$A,"S174-06.50", WMS용마재고!$L:$L)</f>
        <v>622</v>
      </c>
      <c r="BN3" s="336">
        <f>SUMIF(WMS용마재고!$A:$A,"S174-07.00", WMS용마재고!$L:$L)</f>
        <v>537</v>
      </c>
      <c r="BO3" s="336">
        <f>SUMIF(WMS용마재고!$A:$A,"S174-07.50", WMS용마재고!$L:$L)</f>
        <v>670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831</v>
      </c>
      <c r="BZ3" s="192">
        <v>0</v>
      </c>
      <c r="CA3" s="192">
        <v>0</v>
      </c>
      <c r="CB3" s="192">
        <v>588</v>
      </c>
      <c r="CC3" s="192">
        <v>762</v>
      </c>
      <c r="CD3" s="192">
        <v>622</v>
      </c>
      <c r="CE3" s="192">
        <v>599</v>
      </c>
      <c r="CF3" s="192">
        <v>556</v>
      </c>
      <c r="CG3" s="192">
        <v>606</v>
      </c>
      <c r="CH3" s="192">
        <v>1141</v>
      </c>
      <c r="CI3" s="192">
        <v>581</v>
      </c>
      <c r="CJ3" s="192">
        <v>605</v>
      </c>
      <c r="CK3" s="192">
        <v>724</v>
      </c>
      <c r="CL3" s="192">
        <v>766</v>
      </c>
      <c r="CM3" s="192">
        <v>686</v>
      </c>
      <c r="CN3" s="192">
        <v>575</v>
      </c>
      <c r="CO3" s="192">
        <v>584</v>
      </c>
      <c r="CP3" s="192">
        <v>587</v>
      </c>
      <c r="CQ3" s="192">
        <v>585</v>
      </c>
      <c r="CR3" s="192">
        <v>593</v>
      </c>
      <c r="CS3" s="192">
        <v>0</v>
      </c>
      <c r="CT3" s="192">
        <v>613</v>
      </c>
      <c r="CU3" s="192">
        <v>0</v>
      </c>
      <c r="CV3" s="192">
        <v>616</v>
      </c>
      <c r="CW3" s="192">
        <v>622</v>
      </c>
      <c r="CX3" s="192">
        <v>537</v>
      </c>
      <c r="CY3" s="192">
        <v>670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5755</v>
      </c>
      <c r="C4" s="164">
        <f>SUMIF(WMS용마재고!$A:$A,"S175-00.00", WMS용마재고!$L:$L)</f>
        <v>553</v>
      </c>
      <c r="D4" s="162"/>
      <c r="E4" s="162"/>
      <c r="F4" s="164">
        <f>SUMIF(WMS용마재고!$A:$A,"S175-01.00", WMS용마재고!$L:$L)</f>
        <v>554</v>
      </c>
      <c r="G4" s="164">
        <f>SUMIF(WMS용마재고!$A:$A,"S175-01.25", WMS용마재고!$L:$L)</f>
        <v>572</v>
      </c>
      <c r="H4" s="164">
        <f>SUMIF(WMS용마재고!$A:$A,"S175-01.50", WMS용마재고!$L:$L)</f>
        <v>555</v>
      </c>
      <c r="I4" s="164">
        <f>SUMIF(WMS용마재고!$A:$A,"S175-01.75", WMS용마재고!$L:$L)</f>
        <v>559</v>
      </c>
      <c r="J4" s="164">
        <f>SUMIF(WMS용마재고!$A:$A,"S175-02.00", WMS용마재고!$L:$L)</f>
        <v>568</v>
      </c>
      <c r="K4" s="164">
        <f>SUMIF(WMS용마재고!$A:$A,"S175-02.25", WMS용마재고!$L:$L)</f>
        <v>564</v>
      </c>
      <c r="L4" s="164">
        <f>SUMIF(WMS용마재고!$A:$A,"S175-02.50", WMS용마재고!$L:$L)</f>
        <v>580</v>
      </c>
      <c r="M4" s="164">
        <f>SUMIF(WMS용마재고!$A:$A,"S175-02.75", WMS용마재고!$L:$L)</f>
        <v>631</v>
      </c>
      <c r="N4" s="164">
        <f>SUMIF(WMS용마재고!$A:$A,"S175-03.00", WMS용마재고!$L:$L)</f>
        <v>605</v>
      </c>
      <c r="O4" s="164">
        <f>SUMIF(WMS용마재고!$A:$A,"S175-03.25", WMS용마재고!$L:$L)</f>
        <v>543</v>
      </c>
      <c r="P4" s="164">
        <f>SUMIF(WMS용마재고!$A:$A,"S175-03.50", WMS용마재고!$L:$L)</f>
        <v>571</v>
      </c>
      <c r="Q4" s="164">
        <f>SUMIF(WMS용마재고!$A:$A,"S175-03.75", WMS용마재고!$L:$L)</f>
        <v>577</v>
      </c>
      <c r="R4" s="164">
        <f>SUMIF(WMS용마재고!$A:$A,"S175-04.00", WMS용마재고!$L:$L)</f>
        <v>578</v>
      </c>
      <c r="S4" s="164">
        <f>SUMIF(WMS용마재고!$A:$A,"S175-04.25", WMS용마재고!$L:$L)</f>
        <v>307</v>
      </c>
      <c r="T4" s="164">
        <f>SUMIF(WMS용마재고!$A:$A,"S175-04.50", WMS용마재고!$L:$L)</f>
        <v>560</v>
      </c>
      <c r="U4" s="164">
        <f>SUMIF(WMS용마재고!$A:$A,"S175-04.75", WMS용마재고!$L:$L)</f>
        <v>627</v>
      </c>
      <c r="V4" s="167">
        <f>SUMIF(WMS용마재고!$A:$A,"S175-05.00", WMS용마재고!$L:$L)</f>
        <v>556</v>
      </c>
      <c r="W4" s="162"/>
      <c r="X4" s="167">
        <f>SUMIF(WMS용마재고!$A:$A,"S175-05.50", WMS용마재고!$L:$L)</f>
        <v>624</v>
      </c>
      <c r="Y4" s="162"/>
      <c r="Z4" s="164">
        <f>SUMIF(WMS용마재고!$A:$A,"S175-06.00", WMS용마재고!$L:$L)</f>
        <v>600</v>
      </c>
      <c r="AA4" s="164">
        <f>SUMIF(WMS용마재고!$A:$A,"S175-06.50", WMS용마재고!$L:$L)</f>
        <v>264</v>
      </c>
      <c r="AB4" s="164">
        <f>SUMIF(WMS용마재고!$A:$A,"S175-07.00", WMS용마재고!$L:$L)</f>
        <v>625</v>
      </c>
      <c r="AC4" s="164">
        <f>SUMIF(WMS용마재고!$A:$A,"S175-07.50", WMS용마재고!$L:$L)</f>
        <v>652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553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554</v>
      </c>
      <c r="AS4" s="191">
        <f>SUMIF(WMS용마재고!$A:$A,"S175-01.25", WMS용마재고!$L:$L)</f>
        <v>572</v>
      </c>
      <c r="AT4" s="191">
        <f>SUMIF(WMS용마재고!$A:$A,"S175-01.50", WMS용마재고!$L:$L)</f>
        <v>555</v>
      </c>
      <c r="AU4" s="191">
        <f>SUMIF(WMS용마재고!$A:$A,"S175-01.75", WMS용마재고!$L:$L)</f>
        <v>559</v>
      </c>
      <c r="AV4" s="191">
        <f>SUMIF(WMS용마재고!$A:$A,"S175-02.00", WMS용마재고!$L:$L)</f>
        <v>568</v>
      </c>
      <c r="AW4" s="191">
        <f>SUMIF(WMS용마재고!$A:$A,"S175-02.25", WMS용마재고!$L:$L)</f>
        <v>564</v>
      </c>
      <c r="AX4" s="191">
        <f>SUMIF(WMS용마재고!$A:$A,"S175-02.50", WMS용마재고!$L:$L)</f>
        <v>580</v>
      </c>
      <c r="AY4" s="191">
        <f>SUMIF(WMS용마재고!$A:$A,"S175-02.75", WMS용마재고!$L:$L)</f>
        <v>631</v>
      </c>
      <c r="AZ4" s="191">
        <f>SUMIF(WMS용마재고!$A:$A,"S175-03.00", WMS용마재고!$L:$L)</f>
        <v>605</v>
      </c>
      <c r="BA4" s="191">
        <f>SUMIF(WMS용마재고!$A:$A,"S175-03.25", WMS용마재고!$L:$L)</f>
        <v>543</v>
      </c>
      <c r="BB4" s="191">
        <f>SUMIF(WMS용마재고!$A:$A,"S175-03.50", WMS용마재고!$L:$L)</f>
        <v>571</v>
      </c>
      <c r="BC4" s="191">
        <f>SUMIF(WMS용마재고!$A:$A,"S175-03.75", WMS용마재고!$L:$L)</f>
        <v>577</v>
      </c>
      <c r="BD4" s="191">
        <f>SUMIF(WMS용마재고!$A:$A,"S175-04.00", WMS용마재고!$L:$L)</f>
        <v>578</v>
      </c>
      <c r="BE4" s="191">
        <f>SUMIF(WMS용마재고!$A:$A,"S175-04.25", WMS용마재고!$L:$L)</f>
        <v>307</v>
      </c>
      <c r="BF4" s="191">
        <f>SUMIF(WMS용마재고!$A:$A,"S175-04.50", WMS용마재고!$L:$L)</f>
        <v>560</v>
      </c>
      <c r="BG4" s="191">
        <f>SUMIF(WMS용마재고!$A:$A,"S175-04.75", WMS용마재고!$L:$L)</f>
        <v>627</v>
      </c>
      <c r="BH4" s="191">
        <f>SUMIF(WMS용마재고!$A:$A,"S175-05.00", WMS용마재고!$L:$L)</f>
        <v>556</v>
      </c>
      <c r="BI4" s="191">
        <f>SUMIF(WMS용마재고!$A:$A,"S175-05.25", WMS용마재고!$L:$L)</f>
        <v>0</v>
      </c>
      <c r="BJ4" s="191">
        <f>SUMIF(WMS용마재고!$A:$A,"S175-05.50", WMS용마재고!$L:$L)</f>
        <v>624</v>
      </c>
      <c r="BK4" s="191">
        <f>SUMIF(WMS용마재고!$A:$A,"S175-05.75", WMS용마재고!$L:$L)</f>
        <v>0</v>
      </c>
      <c r="BL4" s="191">
        <f>SUMIF(WMS용마재고!$A:$A,"S175-06.00", WMS용마재고!$L:$L)</f>
        <v>600</v>
      </c>
      <c r="BM4" s="191">
        <f>SUMIF(WMS용마재고!$A:$A,"S175-06.50", WMS용마재고!$L:$L)</f>
        <v>264</v>
      </c>
      <c r="BN4" s="191">
        <f>SUMIF(WMS용마재고!$A:$A,"S175-07.00", WMS용마재고!$L:$L)</f>
        <v>625</v>
      </c>
      <c r="BO4" s="191">
        <f>SUMIF(WMS용마재고!$A:$A,"S175-07.50", WMS용마재고!$L:$L)</f>
        <v>652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553</v>
      </c>
      <c r="BZ4" s="192">
        <v>0</v>
      </c>
      <c r="CA4" s="192">
        <v>0</v>
      </c>
      <c r="CB4" s="192">
        <v>554</v>
      </c>
      <c r="CC4" s="192">
        <v>572</v>
      </c>
      <c r="CD4" s="192">
        <v>555</v>
      </c>
      <c r="CE4" s="192">
        <v>559</v>
      </c>
      <c r="CF4" s="192">
        <v>568</v>
      </c>
      <c r="CG4" s="192">
        <v>564</v>
      </c>
      <c r="CH4" s="192">
        <v>580</v>
      </c>
      <c r="CI4" s="192">
        <v>631</v>
      </c>
      <c r="CJ4" s="192">
        <v>605</v>
      </c>
      <c r="CK4" s="192">
        <v>543</v>
      </c>
      <c r="CL4" s="192">
        <v>571</v>
      </c>
      <c r="CM4" s="192">
        <v>577</v>
      </c>
      <c r="CN4" s="192">
        <v>578</v>
      </c>
      <c r="CO4" s="192">
        <v>307</v>
      </c>
      <c r="CP4" s="192">
        <v>560</v>
      </c>
      <c r="CQ4" s="192">
        <v>627</v>
      </c>
      <c r="CR4" s="192">
        <v>556</v>
      </c>
      <c r="CS4" s="192">
        <v>0</v>
      </c>
      <c r="CT4" s="192">
        <v>624</v>
      </c>
      <c r="CU4" s="192">
        <v>0</v>
      </c>
      <c r="CV4" s="192">
        <v>600</v>
      </c>
      <c r="CW4" s="192">
        <v>264</v>
      </c>
      <c r="CX4" s="192">
        <v>625</v>
      </c>
      <c r="CY4" s="192">
        <v>652</v>
      </c>
      <c r="CZ4" s="192">
        <v>597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6897</v>
      </c>
      <c r="C5" s="164">
        <f>SUMIF(WMS용마재고!$A:$A,"S176-00.00", WMS용마재고!$L:$L)</f>
        <v>512</v>
      </c>
      <c r="D5" s="162"/>
      <c r="E5" s="162"/>
      <c r="F5" s="164">
        <f>SUMIF(WMS용마재고!$A:$A,"S176-01.00", WMS용마재고!$L:$L)</f>
        <v>541</v>
      </c>
      <c r="G5" s="164">
        <f>SUMIF(WMS용마재고!$A:$A,"S176-01.25", WMS용마재고!$L:$L)</f>
        <v>654</v>
      </c>
      <c r="H5" s="164">
        <f>SUMIF(WMS용마재고!$A:$A,"S176-01.50", WMS용마재고!$L:$L)</f>
        <v>569</v>
      </c>
      <c r="I5" s="164">
        <f>SUMIF(WMS용마재고!$A:$A,"S176-01.75", WMS용마재고!$L:$L)</f>
        <v>613</v>
      </c>
      <c r="J5" s="164">
        <f>SUMIF(WMS용마재고!$A:$A,"S176-02.00", WMS용마재고!$L:$L)</f>
        <v>675</v>
      </c>
      <c r="K5" s="164">
        <f>SUMIF(WMS용마재고!$A:$A,"S176-02.25", WMS용마재고!$L:$L)</f>
        <v>564</v>
      </c>
      <c r="L5" s="164">
        <f>SUMIF(WMS용마재고!$A:$A,"S176-02.50", WMS용마재고!$L:$L)</f>
        <v>629</v>
      </c>
      <c r="M5" s="164">
        <f>SUMIF(WMS용마재고!$A:$A,"S176-02.75", WMS용마재고!$L:$L)</f>
        <v>139</v>
      </c>
      <c r="N5" s="164">
        <f>SUMIF(WMS용마재고!$A:$A,"S176-03.00", WMS용마재고!$L:$L)</f>
        <v>601</v>
      </c>
      <c r="O5" s="164">
        <f>SUMIF(WMS용마재고!$A:$A,"S176-03.25", WMS용마재고!$L:$L)</f>
        <v>673</v>
      </c>
      <c r="P5" s="164">
        <f>SUMIF(WMS용마재고!$A:$A,"S176-03.50", WMS용마재고!$L:$L)</f>
        <v>613</v>
      </c>
      <c r="Q5" s="164">
        <f>SUMIF(WMS용마재고!$A:$A,"S176-03.75", WMS용마재고!$L:$L)</f>
        <v>640</v>
      </c>
      <c r="R5" s="164">
        <f>SUMIF(WMS용마재고!$A:$A,"S176-04.00", WMS용마재고!$L:$L)</f>
        <v>623</v>
      </c>
      <c r="S5" s="164">
        <f>SUMIF(WMS용마재고!$A:$A,"S176-04.25", WMS용마재고!$L:$L)</f>
        <v>582</v>
      </c>
      <c r="T5" s="164">
        <f>SUMIF(WMS용마재고!$A:$A,"S176-04.50", WMS용마재고!$L:$L)</f>
        <v>594</v>
      </c>
      <c r="U5" s="164">
        <f>SUMIF(WMS용마재고!$A:$A,"S176-04.75", WMS용마재고!$L:$L)</f>
        <v>620</v>
      </c>
      <c r="V5" s="167">
        <f>SUMIF(WMS용마재고!$A:$A,"S176-05.00", WMS용마재고!$L:$L)</f>
        <v>605</v>
      </c>
      <c r="W5" s="162"/>
      <c r="X5" s="167">
        <f>SUMIF(WMS용마재고!$A:$A,"S176-05.50", WMS용마재고!$L:$L)</f>
        <v>355</v>
      </c>
      <c r="Y5" s="162"/>
      <c r="Z5" s="164">
        <f>SUMIF(WMS용마재고!$A:$A,"S176-06.00", WMS용마재고!$L:$L)</f>
        <v>438</v>
      </c>
      <c r="AA5" s="164">
        <f>SUMIF(WMS용마재고!$A:$A,"S176-06.50", WMS용마재고!$L:$L)</f>
        <v>636</v>
      </c>
      <c r="AB5" s="164">
        <f>SUMIF(WMS용마재고!$A:$A,"S176-07.00", WMS용마재고!$L:$L)</f>
        <v>599</v>
      </c>
      <c r="AC5" s="164">
        <f>SUMIF(WMS용마재고!$A:$A,"S176-07.50", WMS용마재고!$L:$L)</f>
        <v>629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512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541</v>
      </c>
      <c r="AS5" s="191">
        <f>SUMIF(WMS용마재고!$A:$A,"S176-01.25", WMS용마재고!$L:$L)</f>
        <v>654</v>
      </c>
      <c r="AT5" s="191">
        <f>SUMIF(WMS용마재고!$A:$A,"S176-01.50", WMS용마재고!$L:$L)</f>
        <v>569</v>
      </c>
      <c r="AU5" s="191">
        <f>SUMIF(WMS용마재고!$A:$A,"S176-01.75", WMS용마재고!$L:$L)</f>
        <v>613</v>
      </c>
      <c r="AV5" s="191">
        <f>SUMIF(WMS용마재고!$A:$A,"S176-02.00", WMS용마재고!$L:$L)</f>
        <v>675</v>
      </c>
      <c r="AW5" s="191">
        <f>SUMIF(WMS용마재고!$A:$A,"S176-02.25", WMS용마재고!$L:$L)</f>
        <v>564</v>
      </c>
      <c r="AX5" s="191">
        <f>SUMIF(WMS용마재고!$A:$A,"S176-02.50", WMS용마재고!$L:$L)</f>
        <v>629</v>
      </c>
      <c r="AY5" s="191">
        <f>SUMIF(WMS용마재고!$A:$A,"S176-02.75", WMS용마재고!$L:$L)</f>
        <v>139</v>
      </c>
      <c r="AZ5" s="191">
        <f>SUMIF(WMS용마재고!$A:$A,"S176-03.00", WMS용마재고!$L:$L)</f>
        <v>601</v>
      </c>
      <c r="BA5" s="191">
        <f>SUMIF(WMS용마재고!$A:$A,"S176-03.25", WMS용마재고!$L:$L)</f>
        <v>673</v>
      </c>
      <c r="BB5" s="191">
        <f>SUMIF(WMS용마재고!$A:$A,"S176-03.50", WMS용마재고!$L:$L)</f>
        <v>613</v>
      </c>
      <c r="BC5" s="191">
        <f>SUMIF(WMS용마재고!$A:$A,"S176-03.75", WMS용마재고!$L:$L)</f>
        <v>640</v>
      </c>
      <c r="BD5" s="191">
        <f>SUMIF(WMS용마재고!$A:$A,"S176-04.00", WMS용마재고!$L:$L)</f>
        <v>623</v>
      </c>
      <c r="BE5" s="191">
        <f>SUMIF(WMS용마재고!$A:$A,"S176-04.25", WMS용마재고!$L:$L)</f>
        <v>582</v>
      </c>
      <c r="BF5" s="191">
        <f>SUMIF(WMS용마재고!$A:$A,"S176-04.50", WMS용마재고!$L:$L)</f>
        <v>594</v>
      </c>
      <c r="BG5" s="191">
        <f>SUMIF(WMS용마재고!$A:$A,"S176-04.75", WMS용마재고!$L:$L)</f>
        <v>620</v>
      </c>
      <c r="BH5" s="191">
        <f>SUMIF(WMS용마재고!$A:$A,"S176-05.00", WMS용마재고!$L:$L)</f>
        <v>605</v>
      </c>
      <c r="BI5" s="191">
        <f>SUMIF(WMS용마재고!$A:$A,"S176-05.25", WMS용마재고!$L:$L)</f>
        <v>0</v>
      </c>
      <c r="BJ5" s="191">
        <f>SUMIF(WMS용마재고!$A:$A,"S176-05.50", WMS용마재고!$L:$L)</f>
        <v>355</v>
      </c>
      <c r="BK5" s="191">
        <f>SUMIF(WMS용마재고!$A:$A,"S176-05.75", WMS용마재고!$L:$L)</f>
        <v>0</v>
      </c>
      <c r="BL5" s="191">
        <f>SUMIF(WMS용마재고!$A:$A,"S176-06.00", WMS용마재고!$L:$L)</f>
        <v>438</v>
      </c>
      <c r="BM5" s="191">
        <f>SUMIF(WMS용마재고!$A:$A,"S176-06.50", WMS용마재고!$L:$L)</f>
        <v>636</v>
      </c>
      <c r="BN5" s="191">
        <f>SUMIF(WMS용마재고!$A:$A,"S176-07.00", WMS용마재고!$L:$L)</f>
        <v>599</v>
      </c>
      <c r="BO5" s="191">
        <f>SUMIF(WMS용마재고!$A:$A,"S176-07.50", WMS용마재고!$L:$L)</f>
        <v>629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512</v>
      </c>
      <c r="BZ5" s="192">
        <v>0</v>
      </c>
      <c r="CA5" s="192">
        <v>0</v>
      </c>
      <c r="CB5" s="192">
        <v>541</v>
      </c>
      <c r="CC5" s="192">
        <v>654</v>
      </c>
      <c r="CD5" s="192">
        <v>569</v>
      </c>
      <c r="CE5" s="192">
        <v>613</v>
      </c>
      <c r="CF5" s="192">
        <v>675</v>
      </c>
      <c r="CG5" s="192">
        <v>564</v>
      </c>
      <c r="CH5" s="192">
        <v>629</v>
      </c>
      <c r="CI5" s="192">
        <v>139</v>
      </c>
      <c r="CJ5" s="192">
        <v>601</v>
      </c>
      <c r="CK5" s="192">
        <v>673</v>
      </c>
      <c r="CL5" s="192">
        <v>613</v>
      </c>
      <c r="CM5" s="192">
        <v>640</v>
      </c>
      <c r="CN5" s="192">
        <v>623</v>
      </c>
      <c r="CO5" s="192">
        <v>582</v>
      </c>
      <c r="CP5" s="192">
        <v>594</v>
      </c>
      <c r="CQ5" s="192">
        <v>620</v>
      </c>
      <c r="CR5" s="192">
        <v>605</v>
      </c>
      <c r="CS5" s="192">
        <v>0</v>
      </c>
      <c r="CT5" s="192">
        <v>355</v>
      </c>
      <c r="CU5" s="192">
        <v>0</v>
      </c>
      <c r="CV5" s="192">
        <v>438</v>
      </c>
      <c r="CW5" s="192">
        <v>636</v>
      </c>
      <c r="CX5" s="192">
        <v>599</v>
      </c>
      <c r="CY5" s="192">
        <v>629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8545</v>
      </c>
      <c r="C6" s="164">
        <f>SUMIF(WMS용마재고!$A:$A,"S317-00.00", WMS용마재고!$L:$L)</f>
        <v>317</v>
      </c>
      <c r="D6" s="162"/>
      <c r="E6" s="162"/>
      <c r="F6" s="164">
        <f>SUMIF(WMS용마재고!$A:$A,"S317-01.00", WMS용마재고!$L:$L)</f>
        <v>301</v>
      </c>
      <c r="G6" s="164">
        <f>SUMIF(WMS용마재고!$A:$A,"S317-01.25", WMS용마재고!$L:$L)</f>
        <v>291</v>
      </c>
      <c r="H6" s="164">
        <f>SUMIF(WMS용마재고!$A:$A,"S317-01.50", WMS용마재고!$L:$L)</f>
        <v>299</v>
      </c>
      <c r="I6" s="164">
        <f>SUMIF(WMS용마재고!$A:$A,"S317-01.75", WMS용마재고!$L:$L)</f>
        <v>288</v>
      </c>
      <c r="J6" s="164">
        <f>SUMIF(WMS용마재고!$A:$A,"S317-02.00", WMS용마재고!$L:$L)</f>
        <v>267</v>
      </c>
      <c r="K6" s="164">
        <f>SUMIF(WMS용마재고!$A:$A,"S317-02.25", WMS용마재고!$L:$L)</f>
        <v>271</v>
      </c>
      <c r="L6" s="164">
        <f>SUMIF(WMS용마재고!$A:$A,"S317-02.50", WMS용마재고!$L:$L)</f>
        <v>305</v>
      </c>
      <c r="M6" s="164">
        <f>SUMIF(WMS용마재고!$A:$A,"S317-02.75", WMS용마재고!$L:$L)</f>
        <v>303</v>
      </c>
      <c r="N6" s="164">
        <f>SUMIF(WMS용마재고!$A:$A,"S317-03.00", WMS용마재고!$L:$L)</f>
        <v>294</v>
      </c>
      <c r="O6" s="164">
        <f>SUMIF(WMS용마재고!$A:$A,"S317-03.25", WMS용마재고!$L:$L)</f>
        <v>270</v>
      </c>
      <c r="P6" s="164">
        <f>SUMIF(WMS용마재고!$A:$A,"S317-03.50", WMS용마재고!$L:$L)</f>
        <v>276</v>
      </c>
      <c r="Q6" s="164">
        <f>SUMIF(WMS용마재고!$A:$A,"S317-03.75", WMS용마재고!$L:$L)</f>
        <v>277</v>
      </c>
      <c r="R6" s="164">
        <f>SUMIF(WMS용마재고!$A:$A,"S317-04.00", WMS용마재고!$L:$L)</f>
        <v>267</v>
      </c>
      <c r="S6" s="164">
        <f>SUMIF(WMS용마재고!$A:$A,"S317-04.25", WMS용마재고!$L:$L)</f>
        <v>253</v>
      </c>
      <c r="T6" s="164">
        <f>SUMIF(WMS용마재고!$A:$A,"S317-04.50", WMS용마재고!$L:$L)</f>
        <v>257</v>
      </c>
      <c r="U6" s="164">
        <f>SUMIF(WMS용마재고!$A:$A,"S317-04.75", WMS용마재고!$L:$L)</f>
        <v>263</v>
      </c>
      <c r="V6" s="167">
        <f>SUMIF(WMS용마재고!$A:$A,"S317-05.00", WMS용마재고!$L:$L)</f>
        <v>263</v>
      </c>
      <c r="W6" s="162"/>
      <c r="X6" s="167">
        <f>SUMIF(WMS용마재고!$A:$A,"S317-05.50", WMS용마재고!$L:$L)</f>
        <v>278</v>
      </c>
      <c r="Y6" s="162"/>
      <c r="Z6" s="164">
        <f>SUMIF(WMS용마재고!$A:$A,"S317-06.00", WMS용마재고!$L:$L)</f>
        <v>292</v>
      </c>
      <c r="AA6" s="164">
        <f>SUMIF(WMS용마재고!$A:$A,"S317-06.50", WMS용마재고!$L:$L)</f>
        <v>216</v>
      </c>
      <c r="AB6" s="164">
        <f>SUMIF(WMS용마재고!$A:$A,"S317-07.00", WMS용마재고!$L:$L)</f>
        <v>342</v>
      </c>
      <c r="AC6" s="164">
        <f>SUMIF(WMS용마재고!$A:$A,"S317-07.50", WMS용마재고!$L:$L)</f>
        <v>358</v>
      </c>
      <c r="AD6" s="164">
        <f>SUMIF(WMS용마재고!$A:$A,"S317-08.00", WMS용마재고!$L:$L)</f>
        <v>364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317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301</v>
      </c>
      <c r="AS6" s="191">
        <f>SUMIF(WMS용마재고!$A:$A,"S317-01.25", WMS용마재고!$L:$L)</f>
        <v>291</v>
      </c>
      <c r="AT6" s="191">
        <f>SUMIF(WMS용마재고!$A:$A,"S317-01.50", WMS용마재고!$L:$L)</f>
        <v>299</v>
      </c>
      <c r="AU6" s="191">
        <f>SUMIF(WMS용마재고!$A:$A,"S317-01.75", WMS용마재고!$L:$L)</f>
        <v>288</v>
      </c>
      <c r="AV6" s="191">
        <f>SUMIF(WMS용마재고!$A:$A,"S317-02.00", WMS용마재고!$L:$L)</f>
        <v>267</v>
      </c>
      <c r="AW6" s="191">
        <f>SUMIF(WMS용마재고!$A:$A,"S317-02.25", WMS용마재고!$L:$L)</f>
        <v>271</v>
      </c>
      <c r="AX6" s="191">
        <f>SUMIF(WMS용마재고!$A:$A,"S317-02.50", WMS용마재고!$L:$L)</f>
        <v>305</v>
      </c>
      <c r="AY6" s="191">
        <f>SUMIF(WMS용마재고!$A:$A,"S317-02.75", WMS용마재고!$L:$L)</f>
        <v>303</v>
      </c>
      <c r="AZ6" s="191">
        <f>SUMIF(WMS용마재고!$A:$A,"S317-03.00", WMS용마재고!$L:$L)</f>
        <v>294</v>
      </c>
      <c r="BA6" s="191">
        <f>SUMIF(WMS용마재고!$A:$A,"S317-03.25", WMS용마재고!$L:$L)</f>
        <v>270</v>
      </c>
      <c r="BB6" s="191">
        <f>SUMIF(WMS용마재고!$A:$A,"S317-03.50", WMS용마재고!$L:$L)</f>
        <v>276</v>
      </c>
      <c r="BC6" s="191">
        <f>SUMIF(WMS용마재고!$A:$A,"S317-03.75", WMS용마재고!$L:$L)</f>
        <v>277</v>
      </c>
      <c r="BD6" s="191">
        <f>SUMIF(WMS용마재고!$A:$A,"S317-04.00", WMS용마재고!$L:$L)</f>
        <v>267</v>
      </c>
      <c r="BE6" s="191">
        <f>SUMIF(WMS용마재고!$A:$A,"S317-04.25", WMS용마재고!$L:$L)</f>
        <v>253</v>
      </c>
      <c r="BF6" s="191">
        <f>SUMIF(WMS용마재고!$A:$A,"S317-04.50", WMS용마재고!$L:$L)</f>
        <v>257</v>
      </c>
      <c r="BG6" s="191">
        <f>SUMIF(WMS용마재고!$A:$A,"S317-04.75", WMS용마재고!$L:$L)</f>
        <v>263</v>
      </c>
      <c r="BH6" s="191">
        <f>SUMIF(WMS용마재고!$A:$A,"S317-05.00", WMS용마재고!$L:$L)</f>
        <v>263</v>
      </c>
      <c r="BI6" s="191">
        <f>SUMIF(WMS용마재고!$A:$A,"S317-05.25", WMS용마재고!$L:$L)</f>
        <v>0</v>
      </c>
      <c r="BJ6" s="191">
        <f>SUMIF(WMS용마재고!$A:$A,"S317-05.50", WMS용마재고!$L:$L)</f>
        <v>278</v>
      </c>
      <c r="BK6" s="191">
        <f>SUMIF(WMS용마재고!$A:$A,"S317-05.75", WMS용마재고!$L:$L)</f>
        <v>0</v>
      </c>
      <c r="BL6" s="191">
        <f>SUMIF(WMS용마재고!$A:$A,"S317-06.00", WMS용마재고!$L:$L)</f>
        <v>292</v>
      </c>
      <c r="BM6" s="191">
        <f>SUMIF(WMS용마재고!$A:$A,"S317-06.50", WMS용마재고!$L:$L)</f>
        <v>216</v>
      </c>
      <c r="BN6" s="191">
        <f>SUMIF(WMS용마재고!$A:$A,"S317-07.00", WMS용마재고!$L:$L)</f>
        <v>342</v>
      </c>
      <c r="BO6" s="191">
        <f>SUMIF(WMS용마재고!$A:$A,"S317-07.50", WMS용마재고!$L:$L)</f>
        <v>358</v>
      </c>
      <c r="BP6" s="191">
        <f>SUMIF(WMS용마재고!$A:$A,"S317-08.00", WMS용마재고!$L:$L)</f>
        <v>364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317</v>
      </c>
      <c r="BZ6" s="192">
        <v>0</v>
      </c>
      <c r="CA6" s="192">
        <v>0</v>
      </c>
      <c r="CB6" s="192">
        <v>301</v>
      </c>
      <c r="CC6" s="192">
        <v>291</v>
      </c>
      <c r="CD6" s="192">
        <v>299</v>
      </c>
      <c r="CE6" s="192">
        <v>288</v>
      </c>
      <c r="CF6" s="192">
        <v>267</v>
      </c>
      <c r="CG6" s="192">
        <v>271</v>
      </c>
      <c r="CH6" s="192">
        <v>305</v>
      </c>
      <c r="CI6" s="192">
        <v>303</v>
      </c>
      <c r="CJ6" s="192">
        <v>294</v>
      </c>
      <c r="CK6" s="192">
        <v>270</v>
      </c>
      <c r="CL6" s="192">
        <v>276</v>
      </c>
      <c r="CM6" s="192">
        <v>277</v>
      </c>
      <c r="CN6" s="192">
        <v>267</v>
      </c>
      <c r="CO6" s="192">
        <v>253</v>
      </c>
      <c r="CP6" s="192">
        <v>257</v>
      </c>
      <c r="CQ6" s="192">
        <v>263</v>
      </c>
      <c r="CR6" s="192">
        <v>263</v>
      </c>
      <c r="CS6" s="192">
        <v>0</v>
      </c>
      <c r="CT6" s="192">
        <v>278</v>
      </c>
      <c r="CU6" s="192">
        <v>0</v>
      </c>
      <c r="CV6" s="192">
        <v>292</v>
      </c>
      <c r="CW6" s="192">
        <v>216</v>
      </c>
      <c r="CX6" s="192">
        <v>342</v>
      </c>
      <c r="CY6" s="192">
        <v>358</v>
      </c>
      <c r="CZ6" s="192">
        <v>364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3" t="s">
        <v>8817</v>
      </c>
      <c r="B7" s="544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8818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8819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8820</v>
      </c>
      <c r="C10" s="164">
        <f>SUMIF(WMS용마재고!$A:$A,"S309-00.00", WMS용마재고!$L:$L)</f>
        <v>478</v>
      </c>
      <c r="D10" s="162"/>
      <c r="E10" s="162"/>
      <c r="F10" s="164">
        <f>SUMIF(WMS용마재고!$A:$A,"S309-01.00", WMS용마재고!$L:$L)</f>
        <v>537</v>
      </c>
      <c r="G10" s="164">
        <f>SUMIF(WMS용마재고!$A:$A,"S309-01.25", WMS용마재고!$L:$L)</f>
        <v>437</v>
      </c>
      <c r="H10" s="164">
        <f>SUMIF(WMS용마재고!$A:$A,"S309-01.50", WMS용마재고!$L:$L)</f>
        <v>481</v>
      </c>
      <c r="I10" s="164">
        <f>SUMIF(WMS용마재고!$A:$A,"S309-01.75", WMS용마재고!$L:$L)</f>
        <v>350</v>
      </c>
      <c r="J10" s="164">
        <f>SUMIF(WMS용마재고!$A:$A,"S309-02.00", WMS용마재고!$L:$L)</f>
        <v>481</v>
      </c>
      <c r="K10" s="164">
        <f>SUMIF(WMS용마재고!$A:$A,"S309-02.25", WMS용마재고!$L:$L)</f>
        <v>558</v>
      </c>
      <c r="L10" s="164">
        <f>SUMIF(WMS용마재고!$A:$A,"S309-02.50", WMS용마재고!$L:$L)</f>
        <v>580</v>
      </c>
      <c r="M10" s="164">
        <f>SUMIF(WMS용마재고!$A:$A,"S309-02.75", WMS용마재고!$L:$L)</f>
        <v>138</v>
      </c>
      <c r="N10" s="164">
        <f>SUMIF(WMS용마재고!$A:$A,"S309-03.00", WMS용마재고!$L:$L)</f>
        <v>443</v>
      </c>
      <c r="O10" s="164">
        <f>SUMIF(WMS용마재고!$A:$A,"S309-03.25", WMS용마재고!$L:$L)</f>
        <v>441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478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537</v>
      </c>
      <c r="AS10" s="191">
        <f>SUMIF(WMS용마재고!$A:$A,"S309-01.25", WMS용마재고!$L:$L)</f>
        <v>437</v>
      </c>
      <c r="AT10" s="191">
        <f>SUMIF(WMS용마재고!$A:$A,"S309-01.50", WMS용마재고!$L:$L)</f>
        <v>481</v>
      </c>
      <c r="AU10" s="191">
        <f>SUMIF(WMS용마재고!$A:$A,"S309-01.75", WMS용마재고!$L:$L)</f>
        <v>350</v>
      </c>
      <c r="AV10" s="191">
        <f>SUMIF(WMS용마재고!$A:$A,"S309-02.00", WMS용마재고!$L:$L)</f>
        <v>481</v>
      </c>
      <c r="AW10" s="191">
        <f>SUMIF(WMS용마재고!$A:$A,"S309-02.25", WMS용마재고!$L:$L)</f>
        <v>558</v>
      </c>
      <c r="AX10" s="191">
        <f>SUMIF(WMS용마재고!$A:$A,"S309-02.50", WMS용마재고!$L:$L)</f>
        <v>580</v>
      </c>
      <c r="AY10" s="191">
        <f>SUMIF(WMS용마재고!$A:$A,"S309-02.75", WMS용마재고!$L:$L)</f>
        <v>138</v>
      </c>
      <c r="AZ10" s="191">
        <f>SUMIF(WMS용마재고!$A:$A,"S309-03.00", WMS용마재고!$L:$L)</f>
        <v>443</v>
      </c>
      <c r="BA10" s="191">
        <f>SUMIF(WMS용마재고!$A:$A,"S309-03.25", WMS용마재고!$L:$L)</f>
        <v>441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478</v>
      </c>
      <c r="BZ10" s="192">
        <v>0</v>
      </c>
      <c r="CA10" s="192">
        <v>0</v>
      </c>
      <c r="CB10" s="192">
        <v>537</v>
      </c>
      <c r="CC10" s="192">
        <v>437</v>
      </c>
      <c r="CD10" s="192">
        <v>481</v>
      </c>
      <c r="CE10" s="192">
        <v>350</v>
      </c>
      <c r="CF10" s="192">
        <v>481</v>
      </c>
      <c r="CG10" s="192">
        <v>558</v>
      </c>
      <c r="CH10" s="192">
        <v>580</v>
      </c>
      <c r="CI10" s="192">
        <v>138</v>
      </c>
      <c r="CJ10" s="192">
        <v>443</v>
      </c>
      <c r="CK10" s="192">
        <v>441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8821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3" t="s">
        <v>8986</v>
      </c>
      <c r="B12" s="544"/>
      <c r="C12" s="552"/>
      <c r="D12" s="553"/>
      <c r="E12" s="553"/>
      <c r="F12" s="554"/>
      <c r="G12" s="555"/>
      <c r="H12" s="555"/>
      <c r="I12" s="156"/>
      <c r="J12" s="556"/>
      <c r="K12" s="556"/>
      <c r="L12" s="556"/>
      <c r="M12" s="556"/>
      <c r="N12" s="556"/>
      <c r="O12" s="556"/>
      <c r="P12" s="556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8877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8878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8879</v>
      </c>
      <c r="C15" s="164">
        <f>SUMIF(WMS용마재고!$A:$A,"S320-00.00", WMS용마재고!$L:$L)</f>
        <v>200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130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130</v>
      </c>
      <c r="N15" s="164">
        <f>SUMIF(WMS용마재고!$A:$A,"S320-03.00", WMS용마재고!$L:$L)</f>
        <v>130</v>
      </c>
      <c r="O15" s="164">
        <f>SUMIF(WMS용마재고!$A:$A,"S320-03.25", WMS용마재고!$L:$L)</f>
        <v>130</v>
      </c>
      <c r="P15" s="164">
        <f>SUMIF(WMS용마재고!$A:$A,"S320-03.50", WMS용마재고!$L:$L)</f>
        <v>130</v>
      </c>
      <c r="Q15" s="164">
        <f>SUMIF(WMS용마재고!$A:$A,"S320-03.75", WMS용마재고!$L:$L)</f>
        <v>130</v>
      </c>
      <c r="R15" s="164">
        <f>SUMIF(WMS용마재고!$A:$A,"S320-04.00", WMS용마재고!$L:$L)</f>
        <v>130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200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130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130</v>
      </c>
      <c r="AZ15" s="191">
        <f>SUMIF(WMS용마재고!$A:$A,"S320-03.00", WMS용마재고!$L:$L)</f>
        <v>130</v>
      </c>
      <c r="BA15" s="191">
        <f>SUMIF(WMS용마재고!$A:$A,"S320-03.25", WMS용마재고!$L:$L)</f>
        <v>130</v>
      </c>
      <c r="BB15" s="191">
        <f>SUMIF(WMS용마재고!$A:$A,"S320-03.50", WMS용마재고!$L:$L)</f>
        <v>130</v>
      </c>
      <c r="BC15" s="191">
        <f>SUMIF(WMS용마재고!$A:$A,"S320-03.75", WMS용마재고!$L:$L)</f>
        <v>130</v>
      </c>
      <c r="BD15" s="191">
        <f>SUMIF(WMS용마재고!$A:$A,"S320-04.00", WMS용마재고!$L:$L)</f>
        <v>130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200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130</v>
      </c>
      <c r="CF15" s="192">
        <v>130</v>
      </c>
      <c r="CG15" s="192">
        <v>130</v>
      </c>
      <c r="CH15" s="192">
        <v>130</v>
      </c>
      <c r="CI15" s="192">
        <v>130</v>
      </c>
      <c r="CJ15" s="192">
        <v>130</v>
      </c>
      <c r="CK15" s="192">
        <v>130</v>
      </c>
      <c r="CL15" s="192">
        <v>130</v>
      </c>
      <c r="CM15" s="192">
        <v>130</v>
      </c>
      <c r="CN15" s="192">
        <v>130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8880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5" t="s">
        <v>4628</v>
      </c>
      <c r="B17" s="546"/>
      <c r="C17" s="552"/>
      <c r="D17" s="553"/>
      <c r="E17" s="553"/>
      <c r="F17" s="554"/>
      <c r="G17" s="555"/>
      <c r="H17" s="555"/>
      <c r="I17" s="156"/>
      <c r="J17" s="556"/>
      <c r="K17" s="556"/>
      <c r="L17" s="556"/>
      <c r="M17" s="556"/>
      <c r="N17" s="556"/>
      <c r="O17" s="556"/>
      <c r="P17" s="556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429</v>
      </c>
      <c r="E18" s="159">
        <f>SUMIF(WMS용마재고!$A:$A,"s030-00.75", WMS용마재고!$L:$L)</f>
        <v>2054</v>
      </c>
      <c r="F18" s="159">
        <f>SUMIF(WMS용마재고!$A:$A,"s030-01.00", WMS용마재고!$L:$L)</f>
        <v>540</v>
      </c>
      <c r="G18" s="159">
        <f>SUMIF(WMS용마재고!$A:$A,"s030-01.25", WMS용마재고!$L:$L)</f>
        <v>527</v>
      </c>
      <c r="H18" s="159">
        <f>SUMIF(WMS용마재고!$A:$A,"s030-01.50", WMS용마재고!$L:$L)</f>
        <v>1076</v>
      </c>
      <c r="I18" s="482">
        <f>SUMIF(WMS용마재고!$A:$A,"s030-01.75", WMS용마재고!$L:$L)</f>
        <v>890</v>
      </c>
      <c r="J18" s="482">
        <f>SUMIF(WMS용마재고!$A:$A,"s030-02.00", WMS용마재고!$L:$L)</f>
        <v>779</v>
      </c>
      <c r="K18" s="482">
        <f>SUMIF(WMS용마재고!$A:$A,"s030-02.25", WMS용마재고!$L:$L)</f>
        <v>1047</v>
      </c>
      <c r="L18" s="482">
        <f>SUMIF(WMS용마재고!$A:$A,"s030-02.50", WMS용마재고!$L:$L)</f>
        <v>1192</v>
      </c>
      <c r="M18" s="482">
        <f>SUMIF(WMS용마재고!$A:$A,"s030-02.75", WMS용마재고!$L:$L)</f>
        <v>1165</v>
      </c>
      <c r="N18" s="482">
        <f>SUMIF(WMS용마재고!$A:$A,"s030-03.00", WMS용마재고!$L:$L)</f>
        <v>1072</v>
      </c>
      <c r="O18" s="482">
        <f>SUMIF(WMS용마재고!$A:$A,"s030-03.25", WMS용마재고!$L:$L)</f>
        <v>1086</v>
      </c>
      <c r="P18" s="482">
        <f>SUMIF(WMS용마재고!$A:$A,"s030-03.50", WMS용마재고!$L:$L)</f>
        <v>1229</v>
      </c>
      <c r="Q18" s="482">
        <f>SUMIF(WMS용마재고!$A:$A,"s030-03.75", WMS용마재고!$L:$L)</f>
        <v>1737</v>
      </c>
      <c r="R18" s="482">
        <f>SUMIF(WMS용마재고!$A:$A,"s030-04.00", WMS용마재고!$L:$L)</f>
        <v>1125</v>
      </c>
      <c r="S18" s="482">
        <f>SUMIF(WMS용마재고!$A:$A,"s030-04.25", WMS용마재고!$L:$L)</f>
        <v>1087</v>
      </c>
      <c r="T18" s="482">
        <f>SUMIF(WMS용마재고!$A:$A,"s030-04.50", WMS용마재고!$L:$L)</f>
        <v>1121</v>
      </c>
      <c r="U18" s="482">
        <f>SUMIF(WMS용마재고!$A:$A,"s030-04.75", WMS용마재고!$L:$L)</f>
        <v>736</v>
      </c>
      <c r="V18" s="482">
        <f>SUMIF(WMS용마재고!$A:$A,"s030-05.00", WMS용마재고!$L:$L)</f>
        <v>924</v>
      </c>
      <c r="W18" s="159">
        <f>SUMIF(WMS용마재고!$A:$A,"s030-05.25", WMS용마재고!$L:$L)</f>
        <v>979</v>
      </c>
      <c r="X18" s="159">
        <f>SUMIF(WMS용마재고!$A:$A,"s030-05.50", WMS용마재고!$L:$L)</f>
        <v>635</v>
      </c>
      <c r="Y18" s="159">
        <f>SUMIF(WMS용마재고!$A:$A,"s030-05.75", WMS용마재고!$L:$L)</f>
        <v>804</v>
      </c>
      <c r="Z18" s="159">
        <f>SUMIF(WMS용마재고!$A:$A,"s030-06.00", WMS용마재고!$L:$L)</f>
        <v>776</v>
      </c>
      <c r="AA18" s="159">
        <f>SUMIF(WMS용마재고!$A:$A,"s030-06.50", WMS용마재고!$L:$L)</f>
        <v>644</v>
      </c>
      <c r="AB18" s="159">
        <f>SUMIF(WMS용마재고!$A:$A,"s030-07.00", WMS용마재고!$L:$L)</f>
        <v>1221</v>
      </c>
      <c r="AC18" s="159">
        <f>SUMIF(WMS용마재고!$A:$A,"s030-07.50", WMS용마재고!$L:$L)</f>
        <v>1234</v>
      </c>
      <c r="AD18" s="159">
        <f>SUMIF(WMS용마재고!$A:$A,"s030-08.00", WMS용마재고!$L:$L)</f>
        <v>287</v>
      </c>
      <c r="AE18" s="159">
        <f>SUMIF(WMS용마재고!$A:$A,"s030-08.50", WMS용마재고!$L:$L)</f>
        <v>189</v>
      </c>
      <c r="AF18" s="159">
        <f>SUMIF(WMS용마재고!$A:$A,"s030-09.00", WMS용마재고!$L:$L)</f>
        <v>238</v>
      </c>
      <c r="AG18" s="159">
        <f>SUMIF(WMS용마재고!$A:$A,"s030-09.50", WMS용마재고!$L:$L)</f>
        <v>1170</v>
      </c>
      <c r="AH18" s="159">
        <f>SUMIF(WMS용마재고!$A:$A,"s030-10.00", WMS용마재고!$L:$L)</f>
        <v>267</v>
      </c>
      <c r="AI18" s="159">
        <f>SUMIF(WMS용마재고!$A:$A,"s030-10.50", WMS용마재고!$L:$L)</f>
        <v>1001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116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429</v>
      </c>
      <c r="AQ18" s="336">
        <f>SUMIF(WMS용마재고!$A:$A,"s030-00.75", WMS용마재고!$L:$L)</f>
        <v>2054</v>
      </c>
      <c r="AR18" s="336">
        <f>SUMIF(WMS용마재고!$A:$A,"s030-01.00", WMS용마재고!$L:$L)</f>
        <v>540</v>
      </c>
      <c r="AS18" s="336">
        <f>SUMIF(WMS용마재고!$A:$A,"s030-01.25", WMS용마재고!$L:$L)</f>
        <v>527</v>
      </c>
      <c r="AT18" s="336">
        <f>SUMIF(WMS용마재고!$A:$A,"s030-01.50", WMS용마재고!$L:$L)</f>
        <v>1076</v>
      </c>
      <c r="AU18" s="336">
        <f>SUMIF(WMS용마재고!$A:$A,"s030-01.75", WMS용마재고!$L:$L)</f>
        <v>890</v>
      </c>
      <c r="AV18" s="336">
        <f>SUMIF(WMS용마재고!$A:$A,"s030-02.00", WMS용마재고!$L:$L)</f>
        <v>779</v>
      </c>
      <c r="AW18" s="336">
        <f>SUMIF(WMS용마재고!$A:$A,"s030-02.25", WMS용마재고!$L:$L)</f>
        <v>1047</v>
      </c>
      <c r="AX18" s="336">
        <f>SUMIF(WMS용마재고!$A:$A,"s030-02.50", WMS용마재고!$L:$L)</f>
        <v>1192</v>
      </c>
      <c r="AY18" s="336">
        <f>SUMIF(WMS용마재고!$A:$A,"s030-02.75", WMS용마재고!$L:$L)</f>
        <v>1165</v>
      </c>
      <c r="AZ18" s="336">
        <f>SUMIF(WMS용마재고!$A:$A,"s030-03.00", WMS용마재고!$L:$L)</f>
        <v>1072</v>
      </c>
      <c r="BA18" s="336">
        <f>SUMIF(WMS용마재고!$A:$A,"s030-03.25", WMS용마재고!$L:$L)</f>
        <v>1086</v>
      </c>
      <c r="BB18" s="336">
        <f>SUMIF(WMS용마재고!$A:$A,"s030-03.50", WMS용마재고!$L:$L)</f>
        <v>1229</v>
      </c>
      <c r="BC18" s="336">
        <f>SUMIF(WMS용마재고!$A:$A,"s030-03.75", WMS용마재고!$L:$L)</f>
        <v>1737</v>
      </c>
      <c r="BD18" s="336">
        <f>SUMIF(WMS용마재고!$A:$A,"s030-04.00", WMS용마재고!$L:$L)</f>
        <v>1125</v>
      </c>
      <c r="BE18" s="336">
        <f>SUMIF(WMS용마재고!$A:$A,"s030-04.25", WMS용마재고!$L:$L)</f>
        <v>1087</v>
      </c>
      <c r="BF18" s="336">
        <f>SUMIF(WMS용마재고!$A:$A,"s030-04.50", WMS용마재고!$L:$L)</f>
        <v>1121</v>
      </c>
      <c r="BG18" s="336">
        <f>SUMIF(WMS용마재고!$A:$A,"s030-04.75", WMS용마재고!$L:$L)</f>
        <v>736</v>
      </c>
      <c r="BH18" s="336">
        <f>SUMIF(WMS용마재고!$A:$A,"s030-05.00", WMS용마재고!$L:$L)</f>
        <v>924</v>
      </c>
      <c r="BI18" s="336">
        <f>SUMIF(WMS용마재고!$A:$A,"s030-05.25", WMS용마재고!$L:$L)</f>
        <v>979</v>
      </c>
      <c r="BJ18" s="336">
        <f>SUMIF(WMS용마재고!$A:$A,"s030-05.50", WMS용마재고!$L:$L)</f>
        <v>635</v>
      </c>
      <c r="BK18" s="336">
        <f>SUMIF(WMS용마재고!$A:$A,"s030-05.75", WMS용마재고!$L:$L)</f>
        <v>804</v>
      </c>
      <c r="BL18" s="336">
        <f>SUMIF(WMS용마재고!$A:$A,"s030-06.00", WMS용마재고!$L:$L)</f>
        <v>776</v>
      </c>
      <c r="BM18" s="336">
        <f>SUMIF(WMS용마재고!$A:$A,"s030-06.50", WMS용마재고!$L:$L)</f>
        <v>644</v>
      </c>
      <c r="BN18" s="336">
        <f>SUMIF(WMS용마재고!$A:$A,"s030-07.00", WMS용마재고!$L:$L)</f>
        <v>1221</v>
      </c>
      <c r="BO18" s="336">
        <f>SUMIF(WMS용마재고!$A:$A,"s030-07.50", WMS용마재고!$L:$L)</f>
        <v>1234</v>
      </c>
      <c r="BP18" s="336">
        <f>SUMIF(WMS용마재고!$A:$A,"s030-08.00", WMS용마재고!$L:$L)</f>
        <v>287</v>
      </c>
      <c r="BQ18" s="336">
        <f>SUMIF(WMS용마재고!$A:$A,"s030-08.50", WMS용마재고!$L:$L)</f>
        <v>189</v>
      </c>
      <c r="BR18" s="336">
        <f>SUMIF(WMS용마재고!$A:$A,"s030-09.00", WMS용마재고!$L:$L)</f>
        <v>238</v>
      </c>
      <c r="BS18" s="336">
        <f>SUMIF(WMS용마재고!$A:$A,"s030-09.50", WMS용마재고!$L:$L)</f>
        <v>1170</v>
      </c>
      <c r="BT18" s="336">
        <f>SUMIF(WMS용마재고!$A:$A,"s030-10.00", WMS용마재고!$L:$L)</f>
        <v>267</v>
      </c>
      <c r="BU18" s="336">
        <f>SUMIF(WMS용마재고!$A:$A,"s030-10.50", WMS용마재고!$L:$L)</f>
        <v>1001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116</v>
      </c>
      <c r="BY18" s="192">
        <v>198</v>
      </c>
      <c r="BZ18" s="192">
        <v>429</v>
      </c>
      <c r="CA18" s="192">
        <v>2054</v>
      </c>
      <c r="CB18" s="192">
        <v>540</v>
      </c>
      <c r="CC18" s="192">
        <v>527</v>
      </c>
      <c r="CD18" s="192">
        <v>1076</v>
      </c>
      <c r="CE18" s="192">
        <v>890</v>
      </c>
      <c r="CF18" s="192">
        <v>779</v>
      </c>
      <c r="CG18" s="192">
        <v>1047</v>
      </c>
      <c r="CH18" s="192">
        <v>1192</v>
      </c>
      <c r="CI18" s="192">
        <v>1165</v>
      </c>
      <c r="CJ18" s="192">
        <v>1072</v>
      </c>
      <c r="CK18" s="192">
        <v>1086</v>
      </c>
      <c r="CL18" s="192">
        <v>1229</v>
      </c>
      <c r="CM18" s="192">
        <v>1737</v>
      </c>
      <c r="CN18" s="192">
        <v>1125</v>
      </c>
      <c r="CO18" s="192">
        <v>1087</v>
      </c>
      <c r="CP18" s="192">
        <v>1121</v>
      </c>
      <c r="CQ18" s="193">
        <v>736</v>
      </c>
      <c r="CR18" s="193">
        <v>924</v>
      </c>
      <c r="CS18" s="193">
        <v>979</v>
      </c>
      <c r="CT18" s="193">
        <v>635</v>
      </c>
      <c r="CU18" s="193">
        <v>804</v>
      </c>
      <c r="CV18" s="193">
        <v>776</v>
      </c>
      <c r="CW18" s="193">
        <v>644</v>
      </c>
      <c r="CX18" s="193">
        <v>1221</v>
      </c>
      <c r="CY18" s="193">
        <v>1234</v>
      </c>
      <c r="CZ18" s="193">
        <v>287</v>
      </c>
      <c r="DA18" s="193">
        <v>189</v>
      </c>
      <c r="DB18" s="193">
        <v>238</v>
      </c>
      <c r="DC18" s="193">
        <v>1170</v>
      </c>
      <c r="DD18" s="193">
        <v>267</v>
      </c>
      <c r="DE18" s="193">
        <v>1001</v>
      </c>
      <c r="DF18" s="193">
        <v>589</v>
      </c>
      <c r="DG18" s="193">
        <v>959</v>
      </c>
      <c r="DH18" s="193">
        <v>116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132</v>
      </c>
      <c r="E19" s="159">
        <f>SUMIF(WMS용마재고!$A:$A,"s180-00.75", WMS용마재고!$L:$L)</f>
        <v>360</v>
      </c>
      <c r="F19" s="159">
        <f>SUMIF(WMS용마재고!$A:$A,"s180-01.00", WMS용마재고!$L:$L)</f>
        <v>195</v>
      </c>
      <c r="G19" s="159">
        <f>SUMIF(WMS용마재고!$A:$A,"s180-01.25", WMS용마재고!$L:$L)</f>
        <v>365</v>
      </c>
      <c r="H19" s="159">
        <f>SUMIF(WMS용마재고!$A:$A,"s180-01.50", WMS용마재고!$L:$L)</f>
        <v>226</v>
      </c>
      <c r="I19" s="159">
        <f>SUMIF(WMS용마재고!$A:$A,"s180-01.75", WMS용마재고!$L:$L)</f>
        <v>289</v>
      </c>
      <c r="J19" s="159">
        <f>SUMIF(WMS용마재고!$A:$A,"s180-02.00", WMS용마재고!$L:$L)</f>
        <v>335</v>
      </c>
      <c r="K19" s="159">
        <f>SUMIF(WMS용마재고!$A:$A,"s180-02.25", WMS용마재고!$L:$L)</f>
        <v>213</v>
      </c>
      <c r="L19" s="159">
        <f>SUMIF(WMS용마재고!$A:$A,"s180-02.50", WMS용마재고!$L:$L)</f>
        <v>366</v>
      </c>
      <c r="M19" s="159">
        <f>SUMIF(WMS용마재고!$A:$A,"s180-02.75", WMS용마재고!$L:$L)</f>
        <v>293</v>
      </c>
      <c r="N19" s="159">
        <f>SUMIF(WMS용마재고!$A:$A,"s180-03.00", WMS용마재고!$L:$L)</f>
        <v>285</v>
      </c>
      <c r="O19" s="159">
        <f>SUMIF(WMS용마재고!$A:$A,"s180-03.25", WMS용마재고!$L:$L)</f>
        <v>360</v>
      </c>
      <c r="P19" s="159">
        <f>SUMIF(WMS용마재고!$A:$A,"s180-03.50", WMS용마재고!$L:$L)</f>
        <v>361</v>
      </c>
      <c r="Q19" s="159">
        <f>SUMIF(WMS용마재고!$A:$A,"s180-03.75", WMS용마재고!$L:$L)</f>
        <v>425</v>
      </c>
      <c r="R19" s="159">
        <f>SUMIF(WMS용마재고!$A:$A,"s180-04.00", WMS용마재고!$L:$L)</f>
        <v>528</v>
      </c>
      <c r="S19" s="159">
        <f>SUMIF(WMS용마재고!$A:$A,"s180-04.25", WMS용마재고!$L:$L)</f>
        <v>352</v>
      </c>
      <c r="T19" s="159">
        <f>SUMIF(WMS용마재고!$A:$A,"s180-04.50", WMS용마재고!$L:$L)</f>
        <v>410</v>
      </c>
      <c r="U19" s="159">
        <f>SUMIF(WMS용마재고!$A:$A,"s180-04.75", WMS용마재고!$L:$L)</f>
        <v>325</v>
      </c>
      <c r="V19" s="159">
        <f>SUMIF(WMS용마재고!$A:$A,"s180-05.00", WMS용마재고!$L:$L)</f>
        <v>302</v>
      </c>
      <c r="W19" s="342">
        <f>SUMIF(WMS용마재고!$A:$A,"s180-05.25", WMS용마재고!$L:$L)</f>
        <v>132</v>
      </c>
      <c r="X19" s="159">
        <f>SUMIF(WMS용마재고!$A:$A,"s180-05.50", WMS용마재고!$L:$L)</f>
        <v>295</v>
      </c>
      <c r="Y19" s="342">
        <f>SUMIF(WMS용마재고!$A:$A,"s180-05.75", WMS용마재고!$L:$L)</f>
        <v>888</v>
      </c>
      <c r="Z19" s="159">
        <f>SUMIF(WMS용마재고!$A:$A,"s180-06.00", WMS용마재고!$L:$L)</f>
        <v>183</v>
      </c>
      <c r="AA19" s="159">
        <f>SUMIF(WMS용마재고!$A:$A,"s180-06.50", WMS용마재고!$L:$L)</f>
        <v>323</v>
      </c>
      <c r="AB19" s="159">
        <f>SUMIF(WMS용마재고!$A:$A,"s180-07.00", WMS용마재고!$L:$L)</f>
        <v>454</v>
      </c>
      <c r="AC19" s="159">
        <f>SUMIF(WMS용마재고!$A:$A,"s180-07.50", WMS용마재고!$L:$L)</f>
        <v>223</v>
      </c>
      <c r="AD19" s="159">
        <f>SUMIF(WMS용마재고!$A:$A,"s180-08.00", WMS용마재고!$L:$L)</f>
        <v>609</v>
      </c>
      <c r="AE19" s="159">
        <f>SUMIF(WMS용마재고!$A:$A,"s180-08.50", WMS용마재고!$L:$L)</f>
        <v>33</v>
      </c>
      <c r="AF19" s="159">
        <f>SUMIF(WMS용마재고!$A:$A,"s180-09.00", WMS용마재고!$L:$L)</f>
        <v>146</v>
      </c>
      <c r="AG19" s="159">
        <f>SUMIF(WMS용마재고!$A:$A,"s180-09.50", WMS용마재고!$L:$L)</f>
        <v>77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132</v>
      </c>
      <c r="AQ19" s="191">
        <f>SUMIF(WMS용마재고!$A:$A,"s180-00.75", WMS용마재고!$L:$L)</f>
        <v>360</v>
      </c>
      <c r="AR19" s="191">
        <f>SUMIF(WMS용마재고!$A:$A,"s180-01.00", WMS용마재고!$L:$L)</f>
        <v>195</v>
      </c>
      <c r="AS19" s="191">
        <f>SUMIF(WMS용마재고!$A:$A,"s180-01.25", WMS용마재고!$L:$L)</f>
        <v>365</v>
      </c>
      <c r="AT19" s="191">
        <f>SUMIF(WMS용마재고!$A:$A,"s180-01.50", WMS용마재고!$L:$L)</f>
        <v>226</v>
      </c>
      <c r="AU19" s="191">
        <f>SUMIF(WMS용마재고!$A:$A,"s180-01.75", WMS용마재고!$L:$L)</f>
        <v>289</v>
      </c>
      <c r="AV19" s="191">
        <f>SUMIF(WMS용마재고!$A:$A,"s180-02.00", WMS용마재고!$L:$L)</f>
        <v>335</v>
      </c>
      <c r="AW19" s="191">
        <f>SUMIF(WMS용마재고!$A:$A,"s180-02.25", WMS용마재고!$L:$L)</f>
        <v>213</v>
      </c>
      <c r="AX19" s="191">
        <f>SUMIF(WMS용마재고!$A:$A,"s180-02.50", WMS용마재고!$L:$L)</f>
        <v>366</v>
      </c>
      <c r="AY19" s="191">
        <f>SUMIF(WMS용마재고!$A:$A,"s180-02.75", WMS용마재고!$L:$L)</f>
        <v>293</v>
      </c>
      <c r="AZ19" s="191">
        <f>SUMIF(WMS용마재고!$A:$A,"s180-03.00", WMS용마재고!$L:$L)</f>
        <v>285</v>
      </c>
      <c r="BA19" s="191">
        <f>SUMIF(WMS용마재고!$A:$A,"s180-03.25", WMS용마재고!$L:$L)</f>
        <v>360</v>
      </c>
      <c r="BB19" s="191">
        <f>SUMIF(WMS용마재고!$A:$A,"s180-03.50", WMS용마재고!$L:$L)</f>
        <v>361</v>
      </c>
      <c r="BC19" s="191">
        <f>SUMIF(WMS용마재고!$A:$A,"s180-03.75", WMS용마재고!$L:$L)</f>
        <v>425</v>
      </c>
      <c r="BD19" s="191">
        <f>SUMIF(WMS용마재고!$A:$A,"s180-04.00", WMS용마재고!$L:$L)</f>
        <v>528</v>
      </c>
      <c r="BE19" s="191">
        <f>SUMIF(WMS용마재고!$A:$A,"s180-04.25", WMS용마재고!$L:$L)</f>
        <v>352</v>
      </c>
      <c r="BF19" s="191">
        <f>SUMIF(WMS용마재고!$A:$A,"s180-04.50", WMS용마재고!$L:$L)</f>
        <v>410</v>
      </c>
      <c r="BG19" s="191">
        <f>SUMIF(WMS용마재고!$A:$A,"s180-04.75", WMS용마재고!$L:$L)</f>
        <v>325</v>
      </c>
      <c r="BH19" s="191">
        <f>SUMIF(WMS용마재고!$A:$A,"s180-05.00", WMS용마재고!$L:$L)</f>
        <v>302</v>
      </c>
      <c r="BI19" s="191">
        <f>SUMIF(WMS용마재고!$A:$A,"s180-05.25", WMS용마재고!$L:$L)</f>
        <v>132</v>
      </c>
      <c r="BJ19" s="191">
        <f>SUMIF(WMS용마재고!$A:$A,"s180-05.50", WMS용마재고!$L:$L)</f>
        <v>295</v>
      </c>
      <c r="BK19" s="191">
        <f>SUMIF(WMS용마재고!$A:$A,"s180-05.75", WMS용마재고!$L:$L)</f>
        <v>888</v>
      </c>
      <c r="BL19" s="191">
        <f>SUMIF(WMS용마재고!$A:$A,"s180-06.00", WMS용마재고!$L:$L)</f>
        <v>183</v>
      </c>
      <c r="BM19" s="191">
        <f>SUMIF(WMS용마재고!$A:$A,"s180-06.50", WMS용마재고!$L:$L)</f>
        <v>323</v>
      </c>
      <c r="BN19" s="191">
        <f>SUMIF(WMS용마재고!$A:$A,"s180-07.00", WMS용마재고!$L:$L)</f>
        <v>454</v>
      </c>
      <c r="BO19" s="191">
        <f>SUMIF(WMS용마재고!$A:$A,"s180-07.50", WMS용마재고!$L:$L)</f>
        <v>223</v>
      </c>
      <c r="BP19" s="191">
        <f>SUMIF(WMS용마재고!$A:$A,"s180-08.00", WMS용마재고!$L:$L)</f>
        <v>609</v>
      </c>
      <c r="BQ19" s="191">
        <f>SUMIF(WMS용마재고!$A:$A,"s180-08.50", WMS용마재고!$L:$L)</f>
        <v>33</v>
      </c>
      <c r="BR19" s="191">
        <f>SUMIF(WMS용마재고!$A:$A,"s180-09.00", WMS용마재고!$L:$L)</f>
        <v>146</v>
      </c>
      <c r="BS19" s="191">
        <f>SUMIF(WMS용마재고!$A:$A,"s180-09.50", WMS용마재고!$L:$L)</f>
        <v>77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132</v>
      </c>
      <c r="CA19" s="192">
        <v>360</v>
      </c>
      <c r="CB19" s="192">
        <v>195</v>
      </c>
      <c r="CC19" s="192">
        <v>365</v>
      </c>
      <c r="CD19" s="192">
        <v>226</v>
      </c>
      <c r="CE19" s="192">
        <v>289</v>
      </c>
      <c r="CF19" s="192">
        <v>335</v>
      </c>
      <c r="CG19" s="192">
        <v>213</v>
      </c>
      <c r="CH19" s="192">
        <v>366</v>
      </c>
      <c r="CI19" s="192">
        <v>293</v>
      </c>
      <c r="CJ19" s="192">
        <v>285</v>
      </c>
      <c r="CK19" s="192">
        <v>360</v>
      </c>
      <c r="CL19" s="192">
        <v>361</v>
      </c>
      <c r="CM19" s="192">
        <v>425</v>
      </c>
      <c r="CN19" s="192">
        <v>528</v>
      </c>
      <c r="CO19" s="192">
        <v>352</v>
      </c>
      <c r="CP19" s="192">
        <v>410</v>
      </c>
      <c r="CQ19" s="193">
        <v>325</v>
      </c>
      <c r="CR19" s="193">
        <v>302</v>
      </c>
      <c r="CS19" s="193">
        <v>132</v>
      </c>
      <c r="CT19" s="193">
        <v>295</v>
      </c>
      <c r="CU19" s="193">
        <v>888</v>
      </c>
      <c r="CV19" s="193">
        <v>183</v>
      </c>
      <c r="CW19" s="193">
        <v>323</v>
      </c>
      <c r="CX19" s="193">
        <v>454</v>
      </c>
      <c r="CY19" s="193">
        <v>223</v>
      </c>
      <c r="CZ19" s="193">
        <v>609</v>
      </c>
      <c r="DA19" s="193">
        <v>33</v>
      </c>
      <c r="DB19" s="193">
        <v>146</v>
      </c>
      <c r="DC19" s="193">
        <v>77</v>
      </c>
      <c r="DD19" s="193">
        <v>63</v>
      </c>
      <c r="DE19" s="193">
        <v>125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424</v>
      </c>
      <c r="E20" s="159">
        <f>SUMIF(WMS용마재고!$A:$A,"s653-00.75", WMS용마재고!$L:$L)</f>
        <v>496</v>
      </c>
      <c r="F20" s="159">
        <f>SUMIF(WMS용마재고!$A:$A,"s653-01.00", WMS용마재고!$L:$L)</f>
        <v>718</v>
      </c>
      <c r="G20" s="159">
        <f>SUMIF(WMS용마재고!$A:$A,"s653-01.25", WMS용마재고!$L:$L)</f>
        <v>756</v>
      </c>
      <c r="H20" s="159">
        <f>SUMIF(WMS용마재고!$A:$A,"s653-01.50", WMS용마재고!$L:$L)</f>
        <v>448</v>
      </c>
      <c r="I20" s="159">
        <f>SUMIF(WMS용마재고!$A:$A,"s653-01.75", WMS용마재고!$L:$L)</f>
        <v>338</v>
      </c>
      <c r="J20" s="159">
        <f>SUMIF(WMS용마재고!$A:$A,"s653-02.00", WMS용마재고!$L:$L)</f>
        <v>1190</v>
      </c>
      <c r="K20" s="159">
        <f>SUMIF(WMS용마재고!$A:$A,"s653-02.25", WMS용마재고!$L:$L)</f>
        <v>783</v>
      </c>
      <c r="L20" s="159">
        <f>SUMIF(WMS용마재고!$A:$A,"s653-02.50", WMS용마재고!$L:$L)</f>
        <v>516</v>
      </c>
      <c r="M20" s="159">
        <f>SUMIF(WMS용마재고!$A:$A,"s653-02.75", WMS용마재고!$L:$L)</f>
        <v>613</v>
      </c>
      <c r="N20" s="159">
        <f>SUMIF(WMS용마재고!$A:$A,"s653-03.00", WMS용마재고!$L:$L)</f>
        <v>713</v>
      </c>
      <c r="O20" s="159">
        <f>SUMIF(WMS용마재고!$A:$A,"s653-03.25", WMS용마재고!$L:$L)</f>
        <v>488</v>
      </c>
      <c r="P20" s="159">
        <f>SUMIF(WMS용마재고!$A:$A,"s653-03.50", WMS용마재고!$L:$L)</f>
        <v>717</v>
      </c>
      <c r="Q20" s="159">
        <f>SUMIF(WMS용마재고!$A:$A,"s653-03.75", WMS용마재고!$L:$L)</f>
        <v>919</v>
      </c>
      <c r="R20" s="159">
        <f>SUMIF(WMS용마재고!$A:$A,"s653-04.00", WMS용마재고!$L:$L)</f>
        <v>314</v>
      </c>
      <c r="S20" s="159">
        <f>SUMIF(WMS용마재고!$A:$A,"s653-04.25", WMS용마재고!$L:$L)</f>
        <v>468</v>
      </c>
      <c r="T20" s="159">
        <f>SUMIF(WMS용마재고!$A:$A,"s653-04.50", WMS용마재고!$L:$L)</f>
        <v>338</v>
      </c>
      <c r="U20" s="159">
        <f>SUMIF(WMS용마재고!$A:$A,"s653-04.75", WMS용마재고!$L:$L)</f>
        <v>556</v>
      </c>
      <c r="V20" s="438">
        <f>SUMIF(WMS용마재고!$A:$A,"s653-05.00", WMS용마재고!$L:$L)</f>
        <v>109</v>
      </c>
      <c r="W20" s="162"/>
      <c r="X20" s="438">
        <f>SUMIF(WMS용마재고!$A:$A,"s653-05.50", WMS용마재고!$L:$L)</f>
        <v>178</v>
      </c>
      <c r="Y20" s="162"/>
      <c r="Z20" s="159">
        <f>SUMIF(WMS용마재고!$A:$A,"s653-06.00", WMS용마재고!$L:$L)</f>
        <v>512</v>
      </c>
      <c r="AA20" s="159">
        <f>SUMIF(WMS용마재고!$A:$A,"s653-06.50", WMS용마재고!$L:$L)</f>
        <v>854</v>
      </c>
      <c r="AB20" s="159">
        <f>SUMIF(WMS용마재고!$A:$A,"s653-07.00", WMS용마재고!$L:$L)</f>
        <v>1126</v>
      </c>
      <c r="AC20" s="159">
        <f>SUMIF(WMS용마재고!$A:$A,"s653-07.50", WMS용마재고!$L:$L)</f>
        <v>82</v>
      </c>
      <c r="AD20" s="159">
        <f>SUMIF(WMS용마재고!$A:$A,"s653-08.00", WMS용마재고!$L:$L)</f>
        <v>66</v>
      </c>
      <c r="AE20" s="159">
        <f>SUMIF(WMS용마재고!$A:$A,"s653-08.50", WMS용마재고!$L:$L)</f>
        <v>360</v>
      </c>
      <c r="AF20" s="159">
        <f>SUMIF(WMS용마재고!$A:$A,"s653-09.00", WMS용마재고!$L:$L)</f>
        <v>233</v>
      </c>
      <c r="AG20" s="159">
        <f>SUMIF(WMS용마재고!$A:$A,"s653-09.50", WMS용마재고!$L:$L)</f>
        <v>239</v>
      </c>
      <c r="AH20" s="159">
        <f>SUMIF(WMS용마재고!$A:$A,"s653-10.00", WMS용마재고!$L:$L)</f>
        <v>392</v>
      </c>
      <c r="AI20" s="159">
        <f>SUMIF(WMS용마재고!$A:$A,"s653-10.50", WMS용마재고!$L:$L)</f>
        <v>189</v>
      </c>
      <c r="AJ20" s="159">
        <f>SUMIF(WMS용마재고!$A:$A,"s653-11.00", WMS용마재고!$L:$L)</f>
        <v>160</v>
      </c>
      <c r="AK20" s="159">
        <f>SUMIF(WMS용마재고!$A:$A,"s653-11.50", WMS용마재고!$L:$L)</f>
        <v>215</v>
      </c>
      <c r="AL20" s="159">
        <f>SUMIF(WMS용마재고!$A:$A,"s653-12.00", WMS용마재고!$L:$L)</f>
        <v>195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424</v>
      </c>
      <c r="AQ20" s="191">
        <f>SUMIF(WMS용마재고!$A:$A,"s653-00.75", WMS용마재고!$L:$L)</f>
        <v>496</v>
      </c>
      <c r="AR20" s="191">
        <f>SUMIF(WMS용마재고!$A:$A,"s653-01.00", WMS용마재고!$L:$L)</f>
        <v>718</v>
      </c>
      <c r="AS20" s="191">
        <f>SUMIF(WMS용마재고!$A:$A,"s653-01.25", WMS용마재고!$L:$L)</f>
        <v>756</v>
      </c>
      <c r="AT20" s="191">
        <f>SUMIF(WMS용마재고!$A:$A,"s653-01.50", WMS용마재고!$L:$L)</f>
        <v>448</v>
      </c>
      <c r="AU20" s="191">
        <f>SUMIF(WMS용마재고!$A:$A,"s653-01.75", WMS용마재고!$L:$L)</f>
        <v>338</v>
      </c>
      <c r="AV20" s="191">
        <f>SUMIF(WMS용마재고!$A:$A,"s653-02.00", WMS용마재고!$L:$L)</f>
        <v>1190</v>
      </c>
      <c r="AW20" s="191">
        <f>SUMIF(WMS용마재고!$A:$A,"s653-02.25", WMS용마재고!$L:$L)</f>
        <v>783</v>
      </c>
      <c r="AX20" s="191">
        <f>SUMIF(WMS용마재고!$A:$A,"s653-02.50", WMS용마재고!$L:$L)</f>
        <v>516</v>
      </c>
      <c r="AY20" s="191">
        <f>SUMIF(WMS용마재고!$A:$A,"s653-02.75", WMS용마재고!$L:$L)</f>
        <v>613</v>
      </c>
      <c r="AZ20" s="191">
        <f>SUMIF(WMS용마재고!$A:$A,"s653-03.00", WMS용마재고!$L:$L)</f>
        <v>713</v>
      </c>
      <c r="BA20" s="191">
        <f>SUMIF(WMS용마재고!$A:$A,"s653-03.25", WMS용마재고!$L:$L)</f>
        <v>488</v>
      </c>
      <c r="BB20" s="191">
        <f>SUMIF(WMS용마재고!$A:$A,"s653-03.50", WMS용마재고!$L:$L)</f>
        <v>717</v>
      </c>
      <c r="BC20" s="191">
        <f>SUMIF(WMS용마재고!$A:$A,"s653-03.75", WMS용마재고!$L:$L)</f>
        <v>919</v>
      </c>
      <c r="BD20" s="191">
        <f>SUMIF(WMS용마재고!$A:$A,"s653-04.00", WMS용마재고!$L:$L)</f>
        <v>314</v>
      </c>
      <c r="BE20" s="191">
        <f>SUMIF(WMS용마재고!$A:$A,"s653-04.25", WMS용마재고!$L:$L)</f>
        <v>468</v>
      </c>
      <c r="BF20" s="191">
        <f>SUMIF(WMS용마재고!$A:$A,"s653-04.50", WMS용마재고!$L:$L)</f>
        <v>338</v>
      </c>
      <c r="BG20" s="191">
        <f>SUMIF(WMS용마재고!$A:$A,"s653-04.75", WMS용마재고!$L:$L)</f>
        <v>556</v>
      </c>
      <c r="BH20" s="191">
        <f>SUMIF(WMS용마재고!$A:$A,"s653-05.00", WMS용마재고!$L:$L)</f>
        <v>109</v>
      </c>
      <c r="BI20" s="191">
        <f>SUMIF(WMS용마재고!$A:$A,"s653-05.25", WMS용마재고!$L:$L)</f>
        <v>0</v>
      </c>
      <c r="BJ20" s="191">
        <f>SUMIF(WMS용마재고!$A:$A,"s653-05.50", WMS용마재고!$L:$L)</f>
        <v>178</v>
      </c>
      <c r="BK20" s="191">
        <f>SUMIF(WMS용마재고!$A:$A,"s653-05.75", WMS용마재고!$L:$L)</f>
        <v>0</v>
      </c>
      <c r="BL20" s="191">
        <f>SUMIF(WMS용마재고!$A:$A,"s653-06.00", WMS용마재고!$L:$L)</f>
        <v>512</v>
      </c>
      <c r="BM20" s="191">
        <f>SUMIF(WMS용마재고!$A:$A,"s653-06.50", WMS용마재고!$L:$L)</f>
        <v>854</v>
      </c>
      <c r="BN20" s="191">
        <f>SUMIF(WMS용마재고!$A:$A,"s653-07.00", WMS용마재고!$L:$L)</f>
        <v>1126</v>
      </c>
      <c r="BO20" s="191">
        <f>SUMIF(WMS용마재고!$A:$A,"s653-07.50", WMS용마재고!$L:$L)</f>
        <v>82</v>
      </c>
      <c r="BP20" s="191">
        <f>SUMIF(WMS용마재고!$A:$A,"s653-08.00", WMS용마재고!$L:$L)</f>
        <v>66</v>
      </c>
      <c r="BQ20" s="191">
        <f>SUMIF(WMS용마재고!$A:$A,"s653-08.50", WMS용마재고!$L:$L)</f>
        <v>360</v>
      </c>
      <c r="BR20" s="191">
        <f>SUMIF(WMS용마재고!$A:$A,"s653-09.00", WMS용마재고!$L:$L)</f>
        <v>233</v>
      </c>
      <c r="BS20" s="191">
        <f>SUMIF(WMS용마재고!$A:$A,"s653-09.50", WMS용마재고!$L:$L)</f>
        <v>239</v>
      </c>
      <c r="BT20" s="191">
        <f>SUMIF(WMS용마재고!$A:$A,"s653-10.00", WMS용마재고!$L:$L)</f>
        <v>392</v>
      </c>
      <c r="BU20" s="191">
        <f>SUMIF(WMS용마재고!$A:$A,"s653-10.50", WMS용마재고!$L:$L)</f>
        <v>189</v>
      </c>
      <c r="BV20" s="191">
        <f>SUMIF(WMS용마재고!$A:$A,"s653-11.00", WMS용마재고!$L:$L)</f>
        <v>160</v>
      </c>
      <c r="BW20" s="191">
        <f>SUMIF(WMS용마재고!$A:$A,"s653-11.50", WMS용마재고!$L:$L)</f>
        <v>215</v>
      </c>
      <c r="BX20" s="196">
        <f>SUMIF(WMS용마재고!$A:$A,"s653-12.00", WMS용마재고!$L:$L)</f>
        <v>195</v>
      </c>
      <c r="BY20" s="192">
        <v>0</v>
      </c>
      <c r="BZ20" s="192">
        <v>424</v>
      </c>
      <c r="CA20" s="192">
        <v>496</v>
      </c>
      <c r="CB20" s="192">
        <v>718</v>
      </c>
      <c r="CC20" s="192">
        <v>756</v>
      </c>
      <c r="CD20" s="192">
        <v>448</v>
      </c>
      <c r="CE20" s="192">
        <v>338</v>
      </c>
      <c r="CF20" s="192">
        <v>1190</v>
      </c>
      <c r="CG20" s="192">
        <v>783</v>
      </c>
      <c r="CH20" s="192">
        <v>516</v>
      </c>
      <c r="CI20" s="192">
        <v>613</v>
      </c>
      <c r="CJ20" s="192">
        <v>713</v>
      </c>
      <c r="CK20" s="192">
        <v>488</v>
      </c>
      <c r="CL20" s="192">
        <v>717</v>
      </c>
      <c r="CM20" s="192">
        <v>919</v>
      </c>
      <c r="CN20" s="192">
        <v>314</v>
      </c>
      <c r="CO20" s="192">
        <v>468</v>
      </c>
      <c r="CP20" s="192">
        <v>338</v>
      </c>
      <c r="CQ20" s="193">
        <v>556</v>
      </c>
      <c r="CR20" s="193">
        <v>109</v>
      </c>
      <c r="CS20" s="193">
        <v>0</v>
      </c>
      <c r="CT20" s="193">
        <v>178</v>
      </c>
      <c r="CU20" s="193">
        <v>0</v>
      </c>
      <c r="CV20" s="193">
        <v>512</v>
      </c>
      <c r="CW20" s="193">
        <v>854</v>
      </c>
      <c r="CX20" s="193">
        <v>1126</v>
      </c>
      <c r="CY20" s="193">
        <v>82</v>
      </c>
      <c r="CZ20" s="193">
        <v>66</v>
      </c>
      <c r="DA20" s="193">
        <v>360</v>
      </c>
      <c r="DB20" s="193">
        <v>233</v>
      </c>
      <c r="DC20" s="193">
        <v>239</v>
      </c>
      <c r="DD20" s="193">
        <v>392</v>
      </c>
      <c r="DE20" s="193">
        <v>189</v>
      </c>
      <c r="DF20" s="193">
        <v>160</v>
      </c>
      <c r="DG20" s="193">
        <v>215</v>
      </c>
      <c r="DH20" s="193">
        <v>195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6339</v>
      </c>
      <c r="E21" s="159">
        <f>SUMIF(WMS용마재고!$A:$A,"S637-00.75", WMS용마재고!$L:$L)</f>
        <v>4242</v>
      </c>
      <c r="F21" s="159">
        <f>SUMIF(WMS용마재고!$A:$A,"S637-01.00", WMS용마재고!$L:$L)</f>
        <v>5412</v>
      </c>
      <c r="G21" s="159">
        <f>SUMIF(WMS용마재고!$A:$A,"S637-01.25", WMS용마재고!$L:$L)</f>
        <v>2025</v>
      </c>
      <c r="H21" s="159">
        <f>SUMIF(WMS용마재고!$A:$A,"S637-01.50", WMS용마재고!$L:$L)</f>
        <v>3008</v>
      </c>
      <c r="I21" s="159">
        <f>SUMIF(WMS용마재고!$A:$A,"S637-01.75", WMS용마재고!$L:$L)</f>
        <v>1547</v>
      </c>
      <c r="J21" s="159">
        <f>SUMIF(WMS용마재고!$A:$A,"S637-02.00", WMS용마재고!$L:$L)</f>
        <v>1131</v>
      </c>
      <c r="K21" s="159">
        <f>SUMIF(WMS용마재고!$A:$A,"S637-02.25", WMS용마재고!$L:$L)</f>
        <v>1290</v>
      </c>
      <c r="L21" s="159">
        <f>SUMIF(WMS용마재고!$A:$A,"S637-02.50", WMS용마재고!$L:$L)</f>
        <v>765</v>
      </c>
      <c r="M21" s="159">
        <f>SUMIF(WMS용마재고!$A:$A,"S637-02.75", WMS용마재고!$L:$L)</f>
        <v>917</v>
      </c>
      <c r="N21" s="159">
        <f>SUMIF(WMS용마재고!$A:$A,"S637-03.00", WMS용마재고!$L:$L)</f>
        <v>1692</v>
      </c>
      <c r="O21" s="159">
        <f>SUMIF(WMS용마재고!$A:$A,"S637-03.25", WMS용마재고!$L:$L)</f>
        <v>1704</v>
      </c>
      <c r="P21" s="159">
        <f>SUMIF(WMS용마재고!$A:$A,"S637-03.50", WMS용마재고!$L:$L)</f>
        <v>1002</v>
      </c>
      <c r="Q21" s="159">
        <f>SUMIF(WMS용마재고!$A:$A,"S637-03.75", WMS용마재고!$L:$L)</f>
        <v>526</v>
      </c>
      <c r="R21" s="159">
        <f>SUMIF(WMS용마재고!$A:$A,"S637-04.00", WMS용마재고!$L:$L)</f>
        <v>1810</v>
      </c>
      <c r="S21" s="159">
        <f>SUMIF(WMS용마재고!$A:$A,"S637-04.25", WMS용마재고!$L:$L)</f>
        <v>1427</v>
      </c>
      <c r="T21" s="159">
        <f>SUMIF(WMS용마재고!$A:$A,"S637-04.50", WMS용마재고!$L:$L)</f>
        <v>2122</v>
      </c>
      <c r="U21" s="159">
        <f>SUMIF(WMS용마재고!$A:$A,"S637-04.75", WMS용마재고!$L:$L)</f>
        <v>2158</v>
      </c>
      <c r="V21" s="438">
        <f>SUMIF(WMS용마재고!$A:$A,"S637-05.00", WMS용마재고!$L:$L)</f>
        <v>1990</v>
      </c>
      <c r="W21" s="162"/>
      <c r="X21" s="438">
        <f>SUMIF(WMS용마재고!$A:$A,"S637-05.50", WMS용마재고!$L:$L)</f>
        <v>1476</v>
      </c>
      <c r="Y21" s="162"/>
      <c r="Z21" s="159">
        <f>SUMIF(WMS용마재고!$A:$A,"S637-06.00", WMS용마재고!$L:$L)</f>
        <v>2058</v>
      </c>
      <c r="AA21" s="159">
        <f>SUMIF(WMS용마재고!$A:$A,"S637-06.50", WMS용마재고!$L:$L)</f>
        <v>2311</v>
      </c>
      <c r="AB21" s="159">
        <f>SUMIF(WMS용마재고!$A:$A,"S637-07.00", WMS용마재고!$L:$L)</f>
        <v>2794</v>
      </c>
      <c r="AC21" s="159">
        <f>SUMIF(WMS용마재고!$A:$A,"S637-07.50", WMS용마재고!$L:$L)</f>
        <v>2814</v>
      </c>
      <c r="AD21" s="159">
        <f>SUMIF(WMS용마재고!$A:$A,"S637-08.00", WMS용마재고!$L:$L)</f>
        <v>2967</v>
      </c>
      <c r="AE21" s="159">
        <f>SUMIF(WMS용마재고!$A:$A,"S637-08.50", WMS용마재고!$L:$L)</f>
        <v>2823</v>
      </c>
      <c r="AF21" s="159">
        <f>SUMIF(WMS용마재고!$A:$A,"S637-09.00", WMS용마재고!$L:$L)</f>
        <v>2935</v>
      </c>
      <c r="AG21" s="159">
        <f>SUMIF(WMS용마재고!$A:$A,"S637-09.50", WMS용마재고!$L:$L)</f>
        <v>1989</v>
      </c>
      <c r="AH21" s="159">
        <f>SUMIF(WMS용마재고!$A:$A,"S637-10.00", WMS용마재고!$L:$L)</f>
        <v>2111</v>
      </c>
      <c r="AI21" s="159">
        <f>SUMIF(WMS용마재고!$A:$A,"S637-10.50", WMS용마재고!$L:$L)</f>
        <v>726</v>
      </c>
      <c r="AJ21" s="159">
        <f>SUMIF(WMS용마재고!$A:$A,"S637-11.00", WMS용마재고!$L:$L)</f>
        <v>1283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6339</v>
      </c>
      <c r="AQ21" s="191">
        <f>SUMIF(WMS용마재고!$A:$A,"S637-00.75", WMS용마재고!$L:$L)</f>
        <v>4242</v>
      </c>
      <c r="AR21" s="191">
        <f>SUMIF(WMS용마재고!$A:$A,"S637-01.00", WMS용마재고!$L:$L)</f>
        <v>5412</v>
      </c>
      <c r="AS21" s="191">
        <f>SUMIF(WMS용마재고!$A:$A,"S637-01.25", WMS용마재고!$L:$L)</f>
        <v>2025</v>
      </c>
      <c r="AT21" s="191">
        <f>SUMIF(WMS용마재고!$A:$A,"S637-01.50", WMS용마재고!$L:$L)</f>
        <v>3008</v>
      </c>
      <c r="AU21" s="191">
        <f>SUMIF(WMS용마재고!$A:$A,"S637-01.75", WMS용마재고!$L:$L)</f>
        <v>1547</v>
      </c>
      <c r="AV21" s="191">
        <f>SUMIF(WMS용마재고!$A:$A,"S637-02.00", WMS용마재고!$L:$L)</f>
        <v>1131</v>
      </c>
      <c r="AW21" s="191">
        <f>SUMIF(WMS용마재고!$A:$A,"S637-02.25", WMS용마재고!$L:$L)</f>
        <v>1290</v>
      </c>
      <c r="AX21" s="191">
        <f>SUMIF(WMS용마재고!$A:$A,"S637-02.50", WMS용마재고!$L:$L)</f>
        <v>765</v>
      </c>
      <c r="AY21" s="191">
        <f>SUMIF(WMS용마재고!$A:$A,"S637-02.75", WMS용마재고!$L:$L)</f>
        <v>917</v>
      </c>
      <c r="AZ21" s="191">
        <f>SUMIF(WMS용마재고!$A:$A,"S637-03.00", WMS용마재고!$L:$L)</f>
        <v>1692</v>
      </c>
      <c r="BA21" s="191">
        <f>SUMIF(WMS용마재고!$A:$A,"S637-03.25", WMS용마재고!$L:$L)</f>
        <v>1704</v>
      </c>
      <c r="BB21" s="191">
        <f>SUMIF(WMS용마재고!$A:$A,"S637-03.50", WMS용마재고!$L:$L)</f>
        <v>1002</v>
      </c>
      <c r="BC21" s="191">
        <f>SUMIF(WMS용마재고!$A:$A,"S637-03.75", WMS용마재고!$L:$L)</f>
        <v>526</v>
      </c>
      <c r="BD21" s="191">
        <f>SUMIF(WMS용마재고!$A:$A,"S637-04.00", WMS용마재고!$L:$L)</f>
        <v>1810</v>
      </c>
      <c r="BE21" s="191">
        <f>SUMIF(WMS용마재고!$A:$A,"S637-04.25", WMS용마재고!$L:$L)</f>
        <v>1427</v>
      </c>
      <c r="BF21" s="191">
        <f>SUMIF(WMS용마재고!$A:$A,"S637-04.50", WMS용마재고!$L:$L)</f>
        <v>2122</v>
      </c>
      <c r="BG21" s="191">
        <f>SUMIF(WMS용마재고!$A:$A,"S637-04.75", WMS용마재고!$L:$L)</f>
        <v>2158</v>
      </c>
      <c r="BH21" s="191">
        <f>SUMIF(WMS용마재고!$A:$A,"S637-05.00", WMS용마재고!$L:$L)</f>
        <v>1990</v>
      </c>
      <c r="BI21" s="191">
        <f>SUMIF(WMS용마재고!$A:$A,"S637-05.25", WMS용마재고!$L:$L)</f>
        <v>0</v>
      </c>
      <c r="BJ21" s="191">
        <f>SUMIF(WMS용마재고!$A:$A,"S637-05.50", WMS용마재고!$L:$L)</f>
        <v>1476</v>
      </c>
      <c r="BK21" s="191">
        <f>SUMIF(WMS용마재고!$A:$A,"S637-05.75", WMS용마재고!$L:$L)</f>
        <v>0</v>
      </c>
      <c r="BL21" s="191">
        <f>SUMIF(WMS용마재고!$A:$A,"S637-06.00", WMS용마재고!$L:$L)</f>
        <v>2058</v>
      </c>
      <c r="BM21" s="191">
        <f>SUMIF(WMS용마재고!$A:$A,"S637-06.50", WMS용마재고!$L:$L)</f>
        <v>2311</v>
      </c>
      <c r="BN21" s="191">
        <f>SUMIF(WMS용마재고!$A:$A,"S637-07.00", WMS용마재고!$L:$L)</f>
        <v>2794</v>
      </c>
      <c r="BO21" s="191">
        <f>SUMIF(WMS용마재고!$A:$A,"S637-07.50", WMS용마재고!$L:$L)</f>
        <v>2814</v>
      </c>
      <c r="BP21" s="191">
        <f>SUMIF(WMS용마재고!$A:$A,"S637-08.00", WMS용마재고!$L:$L)</f>
        <v>2967</v>
      </c>
      <c r="BQ21" s="191">
        <f>SUMIF(WMS용마재고!$A:$A,"S637-08.50", WMS용마재고!$L:$L)</f>
        <v>2823</v>
      </c>
      <c r="BR21" s="191">
        <f>SUMIF(WMS용마재고!$A:$A,"S637-09.00", WMS용마재고!$L:$L)</f>
        <v>2935</v>
      </c>
      <c r="BS21" s="191">
        <f>SUMIF(WMS용마재고!$A:$A,"S637-09.50", WMS용마재고!$L:$L)</f>
        <v>1989</v>
      </c>
      <c r="BT21" s="191">
        <f>SUMIF(WMS용마재고!$A:$A,"S637-10.00", WMS용마재고!$L:$L)</f>
        <v>2111</v>
      </c>
      <c r="BU21" s="191">
        <f>SUMIF(WMS용마재고!$A:$A,"S637-10.50", WMS용마재고!$L:$L)</f>
        <v>726</v>
      </c>
      <c r="BV21" s="191">
        <f>SUMIF(WMS용마재고!$A:$A,"S637-11.00", WMS용마재고!$L:$L)</f>
        <v>1283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6339</v>
      </c>
      <c r="CA21" s="192">
        <v>4242</v>
      </c>
      <c r="CB21" s="192">
        <v>5412</v>
      </c>
      <c r="CC21" s="192">
        <v>2025</v>
      </c>
      <c r="CD21" s="192">
        <v>3008</v>
      </c>
      <c r="CE21" s="192">
        <v>1547</v>
      </c>
      <c r="CF21" s="192">
        <v>1131</v>
      </c>
      <c r="CG21" s="192">
        <v>1290</v>
      </c>
      <c r="CH21" s="192">
        <v>765</v>
      </c>
      <c r="CI21" s="192">
        <v>917</v>
      </c>
      <c r="CJ21" s="192">
        <v>1692</v>
      </c>
      <c r="CK21" s="192">
        <v>1704</v>
      </c>
      <c r="CL21" s="192">
        <v>1002</v>
      </c>
      <c r="CM21" s="192">
        <v>526</v>
      </c>
      <c r="CN21" s="192">
        <v>1810</v>
      </c>
      <c r="CO21" s="192">
        <v>1427</v>
      </c>
      <c r="CP21" s="192">
        <v>2122</v>
      </c>
      <c r="CQ21" s="193">
        <v>2158</v>
      </c>
      <c r="CR21" s="193">
        <v>1990</v>
      </c>
      <c r="CS21" s="193">
        <v>0</v>
      </c>
      <c r="CT21" s="193">
        <v>1476</v>
      </c>
      <c r="CU21" s="193">
        <v>0</v>
      </c>
      <c r="CV21" s="193">
        <v>2058</v>
      </c>
      <c r="CW21" s="193">
        <v>2311</v>
      </c>
      <c r="CX21" s="193">
        <v>2794</v>
      </c>
      <c r="CY21" s="193">
        <v>2814</v>
      </c>
      <c r="CZ21" s="193">
        <v>2967</v>
      </c>
      <c r="DA21" s="193">
        <v>2823</v>
      </c>
      <c r="DB21" s="193">
        <v>2935</v>
      </c>
      <c r="DC21" s="193">
        <v>1989</v>
      </c>
      <c r="DD21" s="193">
        <v>2111</v>
      </c>
      <c r="DE21" s="193">
        <v>726</v>
      </c>
      <c r="DF21" s="193">
        <v>1283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3887</v>
      </c>
      <c r="C22" s="162"/>
      <c r="D22" s="159">
        <f>SUMIF(WMS용마재고!$A:$A,"S654-00.50", WMS용마재고!$L:$L)</f>
        <v>514</v>
      </c>
      <c r="E22" s="159">
        <f>SUMIF(WMS용마재고!$A:$A,"S654-00.75", WMS용마재고!$L:$L)</f>
        <v>434</v>
      </c>
      <c r="F22" s="159">
        <f>SUMIF(WMS용마재고!$A:$A,"S654-01.00", WMS용마재고!$L:$L)</f>
        <v>315</v>
      </c>
      <c r="G22" s="159">
        <f>SUMIF(WMS용마재고!$A:$A,"S654-01.25", WMS용마재고!$L:$L)</f>
        <v>699</v>
      </c>
      <c r="H22" s="159">
        <f>SUMIF(WMS용마재고!$A:$A,"S654-01.50", WMS용마재고!$L:$L)</f>
        <v>377</v>
      </c>
      <c r="I22" s="159">
        <f>SUMIF(WMS용마재고!$A:$A,"S654-01.75", WMS용마재고!$L:$L)</f>
        <v>298</v>
      </c>
      <c r="J22" s="159">
        <f>SUMIF(WMS용마재고!$A:$A,"S654-02.00", WMS용마재고!$L:$L)</f>
        <v>360</v>
      </c>
      <c r="K22" s="159">
        <f>SUMIF(WMS용마재고!$A:$A,"S654-02.25", WMS용마재고!$L:$L)</f>
        <v>306</v>
      </c>
      <c r="L22" s="159">
        <f>SUMIF(WMS용마재고!$A:$A,"S654-02.50", WMS용마재고!$L:$L)</f>
        <v>1198</v>
      </c>
      <c r="M22" s="159">
        <f>SUMIF(WMS용마재고!$A:$A,"S654-02.75", WMS용마재고!$L:$L)</f>
        <v>352</v>
      </c>
      <c r="N22" s="159">
        <f>SUMIF(WMS용마재고!$A:$A,"S654-03.00", WMS용마재고!$L:$L)</f>
        <v>298</v>
      </c>
      <c r="O22" s="159">
        <f>SUMIF(WMS용마재고!$A:$A,"S654-03.25", WMS용마재고!$L:$L)</f>
        <v>356</v>
      </c>
      <c r="P22" s="159">
        <f>SUMIF(WMS용마재고!$A:$A,"S654-03.50", WMS용마재고!$L:$L)</f>
        <v>346</v>
      </c>
      <c r="Q22" s="159">
        <f>SUMIF(WMS용마재고!$A:$A,"S654-03.75", WMS용마재고!$L:$L)</f>
        <v>317</v>
      </c>
      <c r="R22" s="159">
        <f>SUMIF(WMS용마재고!$A:$A,"S654-04.00", WMS용마재고!$L:$L)</f>
        <v>389</v>
      </c>
      <c r="S22" s="159">
        <f>SUMIF(WMS용마재고!$A:$A,"S654-04.25", WMS용마재고!$L:$L)</f>
        <v>306</v>
      </c>
      <c r="T22" s="159">
        <f>SUMIF(WMS용마재고!$A:$A,"S654-04.50", WMS용마재고!$L:$L)</f>
        <v>312</v>
      </c>
      <c r="U22" s="159">
        <f>SUMIF(WMS용마재고!$A:$A,"S654-04.75", WMS용마재고!$L:$L)</f>
        <v>278</v>
      </c>
      <c r="V22" s="438">
        <f>SUMIF(WMS용마재고!$A:$A,"S654-05.00", WMS용마재고!$L:$L)</f>
        <v>314</v>
      </c>
      <c r="W22" s="162"/>
      <c r="X22" s="438">
        <f>SUMIF(WMS용마재고!$A:$A,"S654-05.50", WMS용마재고!$L:$L)</f>
        <v>306</v>
      </c>
      <c r="Y22" s="162"/>
      <c r="Z22" s="159">
        <f>SUMIF(WMS용마재고!$A:$A,"S654-06.00", WMS용마재고!$L:$L)</f>
        <v>332</v>
      </c>
      <c r="AA22" s="159">
        <f>SUMIF(WMS용마재고!$A:$A,"S654-06.50", WMS용마재고!$L:$L)</f>
        <v>349</v>
      </c>
      <c r="AB22" s="159">
        <f>SUMIF(WMS용마재고!$A:$A,"S654-07.00", WMS용마재고!$L:$L)</f>
        <v>293</v>
      </c>
      <c r="AC22" s="159">
        <f>SUMIF(WMS용마재고!$A:$A,"S654-07.50", WMS용마재고!$L:$L)</f>
        <v>164</v>
      </c>
      <c r="AD22" s="159">
        <f>SUMIF(WMS용마재고!$A:$A,"S654-08.00", WMS용마재고!$L:$L)</f>
        <v>161</v>
      </c>
      <c r="AE22" s="159">
        <f>SUMIF(WMS용마재고!$A:$A,"S654-08.50", WMS용마재고!$L:$L)</f>
        <v>943</v>
      </c>
      <c r="AF22" s="159">
        <f>SUMIF(WMS용마재고!$A:$A,"S654-09.00", WMS용마재고!$L:$L)</f>
        <v>284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3875</v>
      </c>
      <c r="AO22" s="191">
        <f>SUMIF(WMS용마재고!$A:$A,"S654-00.00", WMS용마재고!$L:$L)</f>
        <v>0</v>
      </c>
      <c r="AP22" s="191">
        <f>SUMIF(WMS용마재고!$A:$A,"S654-00.50", WMS용마재고!$L:$L)</f>
        <v>514</v>
      </c>
      <c r="AQ22" s="191">
        <f>SUMIF(WMS용마재고!$A:$A,"S654-00.75", WMS용마재고!$L:$L)</f>
        <v>434</v>
      </c>
      <c r="AR22" s="191">
        <f>SUMIF(WMS용마재고!$A:$A,"S654-01.00", WMS용마재고!$L:$L)</f>
        <v>315</v>
      </c>
      <c r="AS22" s="191">
        <f>SUMIF(WMS용마재고!$A:$A,"S654-01.25", WMS용마재고!$L:$L)</f>
        <v>699</v>
      </c>
      <c r="AT22" s="191">
        <f>SUMIF(WMS용마재고!$A:$A,"S654-01.50", WMS용마재고!$L:$L)</f>
        <v>377</v>
      </c>
      <c r="AU22" s="191">
        <f>SUMIF(WMS용마재고!$A:$A,"S654-01.75", WMS용마재고!$L:$L)</f>
        <v>298</v>
      </c>
      <c r="AV22" s="191">
        <f>SUMIF(WMS용마재고!$A:$A,"S654-02.00", WMS용마재고!$L:$L)</f>
        <v>360</v>
      </c>
      <c r="AW22" s="191">
        <f>SUMIF(WMS용마재고!$A:$A,"S654-02.25", WMS용마재고!$L:$L)</f>
        <v>306</v>
      </c>
      <c r="AX22" s="191">
        <f>SUMIF(WMS용마재고!$A:$A,"S654-02.50", WMS용마재고!$L:$L)</f>
        <v>1198</v>
      </c>
      <c r="AY22" s="191">
        <f>SUMIF(WMS용마재고!$A:$A,"S654-02.75", WMS용마재고!$L:$L)</f>
        <v>352</v>
      </c>
      <c r="AZ22" s="191">
        <f>SUMIF(WMS용마재고!$A:$A,"S654-03.00", WMS용마재고!$L:$L)</f>
        <v>298</v>
      </c>
      <c r="BA22" s="191">
        <f>SUMIF(WMS용마재고!$A:$A,"S654-03.25", WMS용마재고!$L:$L)</f>
        <v>356</v>
      </c>
      <c r="BB22" s="191">
        <f>SUMIF(WMS용마재고!$A:$A,"S654-03.50", WMS용마재고!$L:$L)</f>
        <v>346</v>
      </c>
      <c r="BC22" s="191">
        <f>SUMIF(WMS용마재고!$A:$A,"S654-03.75", WMS용마재고!$L:$L)</f>
        <v>317</v>
      </c>
      <c r="BD22" s="191">
        <f>SUMIF(WMS용마재고!$A:$A,"S654-04.00", WMS용마재고!$L:$L)</f>
        <v>389</v>
      </c>
      <c r="BE22" s="191">
        <f>SUMIF(WMS용마재고!$A:$A,"S654-04.25", WMS용마재고!$L:$L)</f>
        <v>306</v>
      </c>
      <c r="BF22" s="191">
        <f>SUMIF(WMS용마재고!$A:$A,"S654-04.50", WMS용마재고!$L:$L)</f>
        <v>312</v>
      </c>
      <c r="BG22" s="191">
        <f>SUMIF(WMS용마재고!$A:$A,"S654-04.75", WMS용마재고!$L:$L)</f>
        <v>278</v>
      </c>
      <c r="BH22" s="191">
        <f>SUMIF(WMS용마재고!$A:$A,"S654-05.00", WMS용마재고!$L:$L)</f>
        <v>314</v>
      </c>
      <c r="BI22" s="191">
        <f>SUMIF(WMS용마재고!$A:$A,"S654-05.25", WMS용마재고!$L:$L)</f>
        <v>0</v>
      </c>
      <c r="BJ22" s="191">
        <f>SUMIF(WMS용마재고!$A:$A,"S654-05.50", WMS용마재고!$L:$L)</f>
        <v>306</v>
      </c>
      <c r="BK22" s="191">
        <f>SUMIF(WMS용마재고!$A:$A,"S654-05.75", WMS용마재고!$L:$L)</f>
        <v>0</v>
      </c>
      <c r="BL22" s="191">
        <f>SUMIF(WMS용마재고!$A:$A,"S654-06.00", WMS용마재고!$L:$L)</f>
        <v>332</v>
      </c>
      <c r="BM22" s="191">
        <f>SUMIF(WMS용마재고!$A:$A,"S654-06.50", WMS용마재고!$L:$L)</f>
        <v>349</v>
      </c>
      <c r="BN22" s="191">
        <f>SUMIF(WMS용마재고!$A:$A,"S654-07.00", WMS용마재고!$L:$L)</f>
        <v>293</v>
      </c>
      <c r="BO22" s="191">
        <f>SUMIF(WMS용마재고!$A:$A,"S654-07.50", WMS용마재고!$L:$L)</f>
        <v>164</v>
      </c>
      <c r="BP22" s="191">
        <f>SUMIF(WMS용마재고!$A:$A,"S654-08.00", WMS용마재고!$L:$L)</f>
        <v>161</v>
      </c>
      <c r="BQ22" s="191">
        <f>SUMIF(WMS용마재고!$A:$A,"S654-08.50", WMS용마재고!$L:$L)</f>
        <v>943</v>
      </c>
      <c r="BR22" s="191">
        <f>SUMIF(WMS용마재고!$A:$A,"S654-09.00", WMS용마재고!$L:$L)</f>
        <v>284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514</v>
      </c>
      <c r="CA22" s="192">
        <v>434</v>
      </c>
      <c r="CB22" s="192">
        <v>315</v>
      </c>
      <c r="CC22" s="192">
        <v>699</v>
      </c>
      <c r="CD22" s="192">
        <v>377</v>
      </c>
      <c r="CE22" s="192">
        <v>298</v>
      </c>
      <c r="CF22" s="192">
        <v>360</v>
      </c>
      <c r="CG22" s="192">
        <v>306</v>
      </c>
      <c r="CH22" s="192">
        <v>1198</v>
      </c>
      <c r="CI22" s="192">
        <v>352</v>
      </c>
      <c r="CJ22" s="192">
        <v>298</v>
      </c>
      <c r="CK22" s="192">
        <v>356</v>
      </c>
      <c r="CL22" s="192">
        <v>346</v>
      </c>
      <c r="CM22" s="192">
        <v>317</v>
      </c>
      <c r="CN22" s="192">
        <v>389</v>
      </c>
      <c r="CO22" s="192">
        <v>306</v>
      </c>
      <c r="CP22" s="192">
        <v>312</v>
      </c>
      <c r="CQ22" s="193">
        <v>278</v>
      </c>
      <c r="CR22" s="193">
        <v>314</v>
      </c>
      <c r="CS22" s="193">
        <v>0</v>
      </c>
      <c r="CT22" s="193">
        <v>306</v>
      </c>
      <c r="CU22" s="193">
        <v>0</v>
      </c>
      <c r="CV22" s="193">
        <v>332</v>
      </c>
      <c r="CW22" s="193">
        <v>349</v>
      </c>
      <c r="CX22" s="193">
        <v>293</v>
      </c>
      <c r="CY22" s="193">
        <v>164</v>
      </c>
      <c r="CZ22" s="193">
        <v>161</v>
      </c>
      <c r="DA22" s="193">
        <v>943</v>
      </c>
      <c r="DB22" s="193">
        <v>284</v>
      </c>
      <c r="DC22" s="193">
        <v>299</v>
      </c>
      <c r="DD22" s="193">
        <v>87</v>
      </c>
      <c r="DE22" s="193">
        <v>629</v>
      </c>
      <c r="DF22" s="193">
        <v>111</v>
      </c>
      <c r="DG22" s="193">
        <v>52</v>
      </c>
      <c r="DH22" s="193">
        <v>91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384</v>
      </c>
      <c r="H23" s="159">
        <f>SUMIF(WMS용마재고!$A:$A,"S194-01.50", WMS용마재고!$L:$L)</f>
        <v>120</v>
      </c>
      <c r="I23" s="159">
        <f>SUMIF(WMS용마재고!$A:$A,"S194-01.75", WMS용마재고!$L:$L)</f>
        <v>233</v>
      </c>
      <c r="J23" s="159">
        <f>SUMIF(WMS용마재고!$A:$A,"S194-02.00", WMS용마재고!$L:$L)</f>
        <v>103</v>
      </c>
      <c r="K23" s="159">
        <f>SUMIF(WMS용마재고!$A:$A,"S194-02.25", WMS용마재고!$L:$L)</f>
        <v>128</v>
      </c>
      <c r="L23" s="159">
        <f>SUMIF(WMS용마재고!$A:$A,"S194-02.50", WMS용마재고!$L:$L)</f>
        <v>69</v>
      </c>
      <c r="M23" s="159">
        <f>SUMIF(WMS용마재고!$A:$A,"S194-02.75", WMS용마재고!$L:$L)</f>
        <v>108</v>
      </c>
      <c r="N23" s="159">
        <f>SUMIF(WMS용마재고!$A:$A,"S194-03.00", WMS용마재고!$L:$L)</f>
        <v>96</v>
      </c>
      <c r="O23" s="159">
        <f>SUMIF(WMS용마재고!$A:$A,"S194-03.25", WMS용마재고!$L:$L)</f>
        <v>152</v>
      </c>
      <c r="P23" s="159">
        <f>SUMIF(WMS용마재고!$A:$A,"S194-03.50", WMS용마재고!$L:$L)</f>
        <v>102</v>
      </c>
      <c r="Q23" s="159">
        <f>SUMIF(WMS용마재고!$A:$A,"S194-03.75", WMS용마재고!$L:$L)</f>
        <v>311</v>
      </c>
      <c r="R23" s="159">
        <f>SUMIF(WMS용마재고!$A:$A,"S194-04.00", WMS용마재고!$L:$L)</f>
        <v>108</v>
      </c>
      <c r="S23" s="159">
        <f>SUMIF(WMS용마재고!$A:$A,"S194-04.25", WMS용마재고!$L:$L)</f>
        <v>91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83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269</v>
      </c>
      <c r="AA23" s="159">
        <f>SUMIF(WMS용마재고!$A:$A,"S194-06.50", WMS용마재고!$L:$L)</f>
        <v>123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384</v>
      </c>
      <c r="AT23" s="338">
        <f>SUMIF(WMS용마재고!$A:$A,"S194-01.50", WMS용마재고!$L:$L)</f>
        <v>120</v>
      </c>
      <c r="AU23" s="338">
        <f>SUMIF(WMS용마재고!$A:$A,"S194-01.75", WMS용마재고!$L:$L)</f>
        <v>233</v>
      </c>
      <c r="AV23" s="338">
        <f>SUMIF(WMS용마재고!$A:$A,"S194-02.00", WMS용마재고!$L:$L)</f>
        <v>103</v>
      </c>
      <c r="AW23" s="338">
        <f>SUMIF(WMS용마재고!$A:$A,"S194-02.25", WMS용마재고!$L:$L)</f>
        <v>128</v>
      </c>
      <c r="AX23" s="338">
        <f>SUMIF(WMS용마재고!$A:$A,"S194-02.50", WMS용마재고!$L:$L)</f>
        <v>69</v>
      </c>
      <c r="AY23" s="338">
        <f>SUMIF(WMS용마재고!$A:$A,"S194-02.75", WMS용마재고!$L:$L)</f>
        <v>108</v>
      </c>
      <c r="AZ23" s="338">
        <f>SUMIF(WMS용마재고!$A:$A,"S194-03.00", WMS용마재고!$L:$L)</f>
        <v>96</v>
      </c>
      <c r="BA23" s="338">
        <f>SUMIF(WMS용마재고!$A:$A,"S194-03.25", WMS용마재고!$L:$L)</f>
        <v>152</v>
      </c>
      <c r="BB23" s="338">
        <f>SUMIF(WMS용마재고!$A:$A,"S194-03.50", WMS용마재고!$L:$L)</f>
        <v>102</v>
      </c>
      <c r="BC23" s="338">
        <f>SUMIF(WMS용마재고!$A:$A,"S194-03.75", WMS용마재고!$L:$L)</f>
        <v>311</v>
      </c>
      <c r="BD23" s="338">
        <f>SUMIF(WMS용마재고!$A:$A,"S194-04.00", WMS용마재고!$L:$L)</f>
        <v>108</v>
      </c>
      <c r="BE23" s="338">
        <f>SUMIF(WMS용마재고!$A:$A,"S194-04.25", WMS용마재고!$L:$L)</f>
        <v>91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83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269</v>
      </c>
      <c r="BM23" s="338">
        <f>SUMIF(WMS용마재고!$A:$A,"S194-06.50", WMS용마재고!$L:$L)</f>
        <v>123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384</v>
      </c>
      <c r="CD23" s="192">
        <v>120</v>
      </c>
      <c r="CE23" s="192">
        <v>233</v>
      </c>
      <c r="CF23" s="192">
        <v>103</v>
      </c>
      <c r="CG23" s="192">
        <v>128</v>
      </c>
      <c r="CH23" s="192">
        <v>69</v>
      </c>
      <c r="CI23" s="192">
        <v>108</v>
      </c>
      <c r="CJ23" s="192">
        <v>96</v>
      </c>
      <c r="CK23" s="192">
        <v>152</v>
      </c>
      <c r="CL23" s="192">
        <v>102</v>
      </c>
      <c r="CM23" s="192">
        <v>311</v>
      </c>
      <c r="CN23" s="192">
        <v>108</v>
      </c>
      <c r="CO23" s="192">
        <v>91</v>
      </c>
      <c r="CP23" s="192">
        <v>146</v>
      </c>
      <c r="CQ23" s="193">
        <v>116</v>
      </c>
      <c r="CR23" s="193">
        <v>83</v>
      </c>
      <c r="CS23" s="193">
        <v>236</v>
      </c>
      <c r="CT23" s="193">
        <v>68</v>
      </c>
      <c r="CU23" s="193">
        <v>994</v>
      </c>
      <c r="CV23" s="193">
        <v>269</v>
      </c>
      <c r="CW23" s="193">
        <v>123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3" t="s">
        <v>4957</v>
      </c>
      <c r="B24" s="544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1467</v>
      </c>
      <c r="D25" s="447">
        <f>SUMIF(WMS용마재고!$A:$A,"s129-00.50", WMS용마재고!$L:$L)+SUMIF(WMS용마재고!$A:$A,"a129-00.50", WMS용마재고!$L:$L)</f>
        <v>408</v>
      </c>
      <c r="E25" s="447">
        <f>SUMIF(WMS용마재고!$A:$A,"s129-00.75", WMS용마재고!$L:$L)+SUMIF(WMS용마재고!$A:$A,"a129-00.75", WMS용마재고!$L:$L)</f>
        <v>761</v>
      </c>
      <c r="F25" s="164">
        <f>SUMIF(WMS용마재고!$A:$A,"s129-01.00", WMS용마재고!$L:$L)+SUMIF(WMS용마재고!$A:$A,"a129-01.00", WMS용마재고!$L:$L)</f>
        <v>216</v>
      </c>
      <c r="G25" s="164">
        <f>SUMIF(WMS용마재고!$A:$A,"s129-01.25", WMS용마재고!$L:$L)+SUMIF(WMS용마재고!$A:$A,"a129-01.25", WMS용마재고!$L:$L)</f>
        <v>4</v>
      </c>
      <c r="H25" s="164">
        <f>SUMIF(WMS용마재고!$A:$A,"s129-01.50", WMS용마재고!$L:$L)+SUMIF(WMS용마재고!$A:$A,"a129-01.50", WMS용마재고!$L:$L)</f>
        <v>181</v>
      </c>
      <c r="I25" s="447">
        <f>SUMIF(WMS용마재고!$A:$A,"s129-01.75", WMS용마재고!$L:$L)+SUMIF(WMS용마재고!$A:$A,"a129-01.75", WMS용마재고!$L:$L)</f>
        <v>135</v>
      </c>
      <c r="J25" s="447">
        <f>SUMIF(WMS용마재고!$A:$A,"s129-02.00", WMS용마재고!$L:$L)+SUMIF(WMS용마재고!$A:$A,"a129-02.00", WMS용마재고!$L:$L)</f>
        <v>99</v>
      </c>
      <c r="K25" s="447">
        <f>SUMIF(WMS용마재고!$A:$A,"s129-02.25", WMS용마재고!$L:$L)+SUMIF(WMS용마재고!$A:$A,"a129-02.25", WMS용마재고!$L:$L)</f>
        <v>97</v>
      </c>
      <c r="L25" s="164">
        <f>SUMIF(WMS용마재고!$A:$A,"s129-02.50", WMS용마재고!$L:$L)+SUMIF(WMS용마재고!$A:$A,"a129-02.50", WMS용마재고!$L:$L)</f>
        <v>188</v>
      </c>
      <c r="M25" s="164">
        <f>SUMIF(WMS용마재고!$A:$A,"s129-02.75", WMS용마재고!$L:$L)+SUMIF(WMS용마재고!$A:$A,"a129-02.75", WMS용마재고!$L:$L)</f>
        <v>-30</v>
      </c>
      <c r="N25" s="164">
        <f>SUMIF(WMS용마재고!$A:$A,"s129-03.00", WMS용마재고!$L:$L)+SUMIF(WMS용마재고!$A:$A,"a129-03.00", WMS용마재고!$L:$L)</f>
        <v>17</v>
      </c>
      <c r="O25" s="164">
        <f>SUMIF(WMS용마재고!$A:$A,"s129-03.25", WMS용마재고!$L:$L)+SUMIF(WMS용마재고!$A:$A,"a129-03.25", WMS용마재고!$L:$L)</f>
        <v>1464</v>
      </c>
      <c r="P25" s="164">
        <f>SUMIF(WMS용마재고!$A:$A,"s129-03.50", WMS용마재고!$L:$L)+SUMIF(WMS용마재고!$A:$A,"a129-03.50", WMS용마재고!$L:$L)</f>
        <v>174</v>
      </c>
      <c r="Q25" s="164">
        <f>SUMIF(WMS용마재고!$A:$A,"s129-03.75", WMS용마재고!$L:$L)+SUMIF(WMS용마재고!$A:$A,"a129-03.75", WMS용마재고!$L:$L)</f>
        <v>171</v>
      </c>
      <c r="R25" s="164">
        <f>SUMIF(WMS용마재고!$A:$A,"s129-04.00", WMS용마재고!$L:$L)+SUMIF(WMS용마재고!$A:$A,"a129-04.00", WMS용마재고!$L:$L)</f>
        <v>-30</v>
      </c>
      <c r="S25" s="164">
        <f>SUMIF(WMS용마재고!$A:$A,"s129-04.25", WMS용마재고!$L:$L)+SUMIF(WMS용마재고!$A:$A,"a129-04.25", WMS용마재고!$L:$L)</f>
        <v>99</v>
      </c>
      <c r="T25" s="164">
        <f>SUMIF(WMS용마재고!$A:$A,"s129-04.50", WMS용마재고!$L:$L)+SUMIF(WMS용마재고!$A:$A,"a129-04.50", WMS용마재고!$L:$L)</f>
        <v>128</v>
      </c>
      <c r="U25" s="164">
        <f>SUMIF(WMS용마재고!$A:$A,"s129-04.75", WMS용마재고!$L:$L)+SUMIF(WMS용마재고!$A:$A,"a129-04.75", WMS용마재고!$L:$L)</f>
        <v>100</v>
      </c>
      <c r="V25" s="164">
        <f>SUMIF(WMS용마재고!$A:$A,"s129-05.00", WMS용마재고!$L:$L)+SUMIF(WMS용마재고!$A:$A,"a129-05.00", WMS용마재고!$L:$L)</f>
        <v>21</v>
      </c>
      <c r="W25" s="164">
        <f>SUMIF(WMS용마재고!$A:$A,"s129-05.25", WMS용마재고!$L:$L)+SUMIF(WMS용마재고!$A:$A,"a129-05.25", WMS용마재고!$L:$L)</f>
        <v>338</v>
      </c>
      <c r="X25" s="164">
        <f>SUMIF(WMS용마재고!$A:$A,"s129-05.50", WMS용마재고!$L:$L)+SUMIF(WMS용마재고!$A:$A,"a129-05.50", WMS용마재고!$L:$L)</f>
        <v>181</v>
      </c>
      <c r="Y25" s="164">
        <f>SUMIF(WMS용마재고!$A:$A,"s129-05.75", WMS용마재고!$L:$L)+SUMIF(WMS용마재고!$A:$A,"a129-05.75", WMS용마재고!$L:$L)</f>
        <v>124</v>
      </c>
      <c r="Z25" s="164">
        <f>SUMIF(WMS용마재고!$A:$A,"s129-06.00", WMS용마재고!$L:$L)+SUMIF(WMS용마재고!$A:$A,"a129-06.00", WMS용마재고!$L:$L)</f>
        <v>105</v>
      </c>
      <c r="AA25" s="164">
        <f>SUMIF(WMS용마재고!$A:$A,"s129-06.50", WMS용마재고!$L:$L)+SUMIF(WMS용마재고!$A:$A,"a129-06.50", WMS용마재고!$L:$L)</f>
        <v>489</v>
      </c>
      <c r="AB25" s="164">
        <f>SUMIF(WMS용마재고!$A:$A,"s129-07.00", WMS용마재고!$L:$L)+SUMIF(WMS용마재고!$A:$A,"a129-07.00", WMS용마재고!$L:$L)</f>
        <v>511</v>
      </c>
      <c r="AC25" s="164">
        <f>SUMIF(WMS용마재고!$A:$A,"s129-07.50", WMS용마재고!$L:$L)+SUMIF(WMS용마재고!$A:$A,"a129-07.50", WMS용마재고!$L:$L)</f>
        <v>205</v>
      </c>
      <c r="AD25" s="164">
        <f>SUMIF(WMS용마재고!$A:$A,"s129-08.00", WMS용마재고!$L:$L)+SUMIF(WMS용마재고!$A:$A,"a129-08.00", WMS용마재고!$L:$L)</f>
        <v>657</v>
      </c>
      <c r="AE25" s="164">
        <f>SUMIF(WMS용마재고!$A:$A,"s129-08.50", WMS용마재고!$L:$L)+SUMIF(WMS용마재고!$A:$A,"a129-08.50", WMS용마재고!$L:$L)</f>
        <v>821</v>
      </c>
      <c r="AF25" s="164">
        <f>SUMIF(WMS용마재고!$A:$A,"s129-09.00", WMS용마재고!$L:$L)+SUMIF(WMS용마재고!$A:$A,"a129-09.00", WMS용마재고!$L:$L)</f>
        <v>266</v>
      </c>
      <c r="AG25" s="164">
        <f>SUMIF(WMS용마재고!$A:$A,"s129-09.50", WMS용마재고!$L:$L)+SUMIF(WMS용마재고!$A:$A,"a129-09.50", WMS용마재고!$L:$L)</f>
        <v>267</v>
      </c>
      <c r="AH25" s="167">
        <f>SUMIF(WMS용마재고!$A:$A,"s129-10.00", WMS용마재고!$L:$L)+SUMIF(WMS용마재고!$A:$A,"a129-10.00", WMS용마재고!$L:$L)</f>
        <v>806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1467</v>
      </c>
      <c r="AP25" s="336">
        <f>SUMIF(WMS용마재고!$A:$A,"s129-00.50", WMS용마재고!$L:$L)+SUMIF(WMS용마재고!$A:$A,"a129-00.50", WMS용마재고!$L:$L)</f>
        <v>408</v>
      </c>
      <c r="AQ25" s="336">
        <f>SUMIF(WMS용마재고!$A:$A,"s129-00.75", WMS용마재고!$L:$L)+SUMIF(WMS용마재고!$A:$A,"a129-00.75", WMS용마재고!$L:$L)</f>
        <v>761</v>
      </c>
      <c r="AR25" s="336">
        <f>SUMIF(WMS용마재고!$A:$A,"s129-01.00", WMS용마재고!$L:$L)+SUMIF(WMS용마재고!$A:$A,"a129-01.00", WMS용마재고!$L:$L)</f>
        <v>216</v>
      </c>
      <c r="AS25" s="336">
        <f>SUMIF(WMS용마재고!$A:$A,"s129-01.25", WMS용마재고!$L:$L)+SUMIF(WMS용마재고!$A:$A,"a129-01.25", WMS용마재고!$L:$L)</f>
        <v>4</v>
      </c>
      <c r="AT25" s="336">
        <f>SUMIF(WMS용마재고!$A:$A,"s129-01.50", WMS용마재고!$L:$L)+SUMIF(WMS용마재고!$A:$A,"a129-01.50", WMS용마재고!$L:$L)</f>
        <v>181</v>
      </c>
      <c r="AU25" s="336">
        <f>SUMIF(WMS용마재고!$A:$A,"s129-01.75", WMS용마재고!$L:$L)+SUMIF(WMS용마재고!$A:$A,"a129-01.75", WMS용마재고!$L:$L)</f>
        <v>135</v>
      </c>
      <c r="AV25" s="336">
        <f>SUMIF(WMS용마재고!$A:$A,"s129-02.00", WMS용마재고!$L:$L)+SUMIF(WMS용마재고!$A:$A,"a129-02.00", WMS용마재고!$L:$L)</f>
        <v>99</v>
      </c>
      <c r="AW25" s="336">
        <f>SUMIF(WMS용마재고!$A:$A,"s129-02.25", WMS용마재고!$L:$L)+SUMIF(WMS용마재고!$A:$A,"a129-02.25", WMS용마재고!$L:$L)</f>
        <v>97</v>
      </c>
      <c r="AX25" s="336">
        <f>SUMIF(WMS용마재고!$A:$A,"s129-02.50", WMS용마재고!$L:$L)+SUMIF(WMS용마재고!$A:$A,"a129-02.50", WMS용마재고!$L:$L)</f>
        <v>188</v>
      </c>
      <c r="AY25" s="336">
        <f>SUMIF(WMS용마재고!$A:$A,"s129-02.75", WMS용마재고!$L:$L)+SUMIF(WMS용마재고!$A:$A,"a129-02.75", WMS용마재고!$L:$L)</f>
        <v>-30</v>
      </c>
      <c r="AZ25" s="336">
        <f>SUMIF(WMS용마재고!$A:$A,"s129-03.00", WMS용마재고!$L:$L)+SUMIF(WMS용마재고!$A:$A,"a129-03.00", WMS용마재고!$L:$L)</f>
        <v>17</v>
      </c>
      <c r="BA25" s="336">
        <f>SUMIF(WMS용마재고!$A:$A,"s129-03.25", WMS용마재고!$L:$L)+SUMIF(WMS용마재고!$A:$A,"a129-03.25", WMS용마재고!$L:$L)</f>
        <v>1464</v>
      </c>
      <c r="BB25" s="336">
        <f>SUMIF(WMS용마재고!$A:$A,"s129-03.50", WMS용마재고!$L:$L)+SUMIF(WMS용마재고!$A:$A,"a129-03.50", WMS용마재고!$L:$L)</f>
        <v>174</v>
      </c>
      <c r="BC25" s="336">
        <f>SUMIF(WMS용마재고!$A:$A,"s129-03.75", WMS용마재고!$L:$L)+SUMIF(WMS용마재고!$A:$A,"a129-03.75", WMS용마재고!$L:$L)</f>
        <v>171</v>
      </c>
      <c r="BD25" s="336">
        <f>SUMIF(WMS용마재고!$A:$A,"s129-04.00", WMS용마재고!$L:$L)+SUMIF(WMS용마재고!$A:$A,"a129-04.00", WMS용마재고!$L:$L)</f>
        <v>-30</v>
      </c>
      <c r="BE25" s="336">
        <f>SUMIF(WMS용마재고!$A:$A,"s129-04.25", WMS용마재고!$L:$L)+SUMIF(WMS용마재고!$A:$A,"a129-04.25", WMS용마재고!$L:$L)</f>
        <v>99</v>
      </c>
      <c r="BF25" s="336">
        <f>SUMIF(WMS용마재고!$A:$A,"s129-04.50", WMS용마재고!$L:$L)+SUMIF(WMS용마재고!$A:$A,"a129-04.50", WMS용마재고!$L:$L)</f>
        <v>128</v>
      </c>
      <c r="BG25" s="336">
        <f>SUMIF(WMS용마재고!$A:$A,"s129-04.75", WMS용마재고!$L:$L)+SUMIF(WMS용마재고!$A:$A,"a129-04.75", WMS용마재고!$L:$L)</f>
        <v>100</v>
      </c>
      <c r="BH25" s="336">
        <f>SUMIF(WMS용마재고!$A:$A,"s129-05.00", WMS용마재고!$L:$L)+SUMIF(WMS용마재고!$A:$A,"a129-05.00", WMS용마재고!$L:$L)</f>
        <v>21</v>
      </c>
      <c r="BI25" s="336">
        <f>SUMIF(WMS용마재고!$A:$A,"s129-05.25", WMS용마재고!$L:$L)+SUMIF(WMS용마재고!$A:$A,"a129-05.25", WMS용마재고!$L:$L)</f>
        <v>338</v>
      </c>
      <c r="BJ25" s="336">
        <f>SUMIF(WMS용마재고!$A:$A,"s129-05.50", WMS용마재고!$L:$L)+SUMIF(WMS용마재고!$A:$A,"a129-05.50", WMS용마재고!$L:$L)</f>
        <v>181</v>
      </c>
      <c r="BK25" s="336">
        <f>SUMIF(WMS용마재고!$A:$A,"s129-05.75", WMS용마재고!$L:$L)+SUMIF(WMS용마재고!$A:$A,"a129-05.75", WMS용마재고!$L:$L)</f>
        <v>124</v>
      </c>
      <c r="BL25" s="336">
        <f>SUMIF(WMS용마재고!$A:$A,"s129-06.00", WMS용마재고!$L:$L)+SUMIF(WMS용마재고!$A:$A,"a129-06.00", WMS용마재고!$L:$L)</f>
        <v>105</v>
      </c>
      <c r="BM25" s="336">
        <f>SUMIF(WMS용마재고!$A:$A,"s129-06.50", WMS용마재고!$L:$L)+SUMIF(WMS용마재고!$A:$A,"a129-06.50", WMS용마재고!$L:$L)</f>
        <v>489</v>
      </c>
      <c r="BN25" s="336">
        <f>SUMIF(WMS용마재고!$A:$A,"s129-07.00", WMS용마재고!$L:$L)+SUMIF(WMS용마재고!$A:$A,"a129-07.00", WMS용마재고!$L:$L)</f>
        <v>511</v>
      </c>
      <c r="BO25" s="336">
        <f>SUMIF(WMS용마재고!$A:$A,"s129-07.50", WMS용마재고!$L:$L)+SUMIF(WMS용마재고!$A:$A,"a129-07.50", WMS용마재고!$L:$L)</f>
        <v>205</v>
      </c>
      <c r="BP25" s="336">
        <f>SUMIF(WMS용마재고!$A:$A,"s129-08.00", WMS용마재고!$L:$L)+SUMIF(WMS용마재고!$A:$A,"a129-08.00", WMS용마재고!$L:$L)</f>
        <v>657</v>
      </c>
      <c r="BQ25" s="336">
        <f>SUMIF(WMS용마재고!$A:$A,"s129-08.50", WMS용마재고!$L:$L)+SUMIF(WMS용마재고!$A:$A,"a129-08.50", WMS용마재고!$L:$L)</f>
        <v>821</v>
      </c>
      <c r="BR25" s="336">
        <f>SUMIF(WMS용마재고!$A:$A,"s129-09.00", WMS용마재고!$L:$L)+SUMIF(WMS용마재고!$A:$A,"a129-09.00", WMS용마재고!$L:$L)</f>
        <v>266</v>
      </c>
      <c r="BS25" s="336">
        <f>SUMIF(WMS용마재고!$A:$A,"s129-09.50", WMS용마재고!$L:$L)+SUMIF(WMS용마재고!$A:$A,"a129-09.50", WMS용마재고!$L:$L)</f>
        <v>267</v>
      </c>
      <c r="BT25" s="336">
        <f>SUMIF(WMS용마재고!$A:$A,"s129-10.00", WMS용마재고!$L:$L)+SUMIF(WMS용마재고!$A:$A,"a129-10.00", WMS용마재고!$L:$L)</f>
        <v>806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1507</v>
      </c>
      <c r="BZ25" s="192">
        <v>408</v>
      </c>
      <c r="CA25" s="192">
        <v>761</v>
      </c>
      <c r="CB25" s="192">
        <v>251</v>
      </c>
      <c r="CC25" s="192">
        <v>39</v>
      </c>
      <c r="CD25" s="192">
        <v>216</v>
      </c>
      <c r="CE25" s="192">
        <v>170</v>
      </c>
      <c r="CF25" s="192">
        <v>134</v>
      </c>
      <c r="CG25" s="192">
        <v>132</v>
      </c>
      <c r="CH25" s="192">
        <v>223</v>
      </c>
      <c r="CI25" s="192">
        <v>-9</v>
      </c>
      <c r="CJ25" s="192">
        <v>52</v>
      </c>
      <c r="CK25" s="192">
        <v>1499</v>
      </c>
      <c r="CL25" s="192">
        <v>209</v>
      </c>
      <c r="CM25" s="192">
        <v>206</v>
      </c>
      <c r="CN25" s="192">
        <v>-24</v>
      </c>
      <c r="CO25" s="192">
        <v>134</v>
      </c>
      <c r="CP25" s="192">
        <v>163</v>
      </c>
      <c r="CQ25" s="193">
        <v>135</v>
      </c>
      <c r="CR25" s="193">
        <v>56</v>
      </c>
      <c r="CS25" s="193">
        <v>353</v>
      </c>
      <c r="CT25" s="193">
        <v>196</v>
      </c>
      <c r="CU25" s="193">
        <v>139</v>
      </c>
      <c r="CV25" s="193">
        <v>120</v>
      </c>
      <c r="CW25" s="193">
        <v>504</v>
      </c>
      <c r="CX25" s="193">
        <v>526</v>
      </c>
      <c r="CY25" s="193">
        <v>205</v>
      </c>
      <c r="CZ25" s="193">
        <v>657</v>
      </c>
      <c r="DA25" s="193">
        <v>821</v>
      </c>
      <c r="DB25" s="193">
        <v>266</v>
      </c>
      <c r="DC25" s="193">
        <v>267</v>
      </c>
      <c r="DD25" s="193">
        <v>806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>경고</v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>경고</v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>경고</v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1252</v>
      </c>
      <c r="D26" s="159">
        <f>SUMIF(WMS용마재고!$A:$A,"s120-00.50", WMS용마재고!$L:$L)+SUMIF(WMS용마재고!$A:$A,"a120-00.50", WMS용마재고!$L:$L)</f>
        <v>479</v>
      </c>
      <c r="E26" s="479">
        <f>SUMIF(WMS용마재고!$A:$A,"s120-00.75", WMS용마재고!$L:$L)+SUMIF(WMS용마재고!$A:$A,"a120-00.75", WMS용마재고!$L:$L)</f>
        <v>260</v>
      </c>
      <c r="F26" s="159">
        <f>SUMIF(WMS용마재고!$A:$A,"s120-01.00", WMS용마재고!$L:$L)+SUMIF(WMS용마재고!$A:$A,"a120-01.00", WMS용마재고!$L:$L)</f>
        <v>181</v>
      </c>
      <c r="G26" s="159">
        <f>SUMIF(WMS용마재고!$A:$A,"s120-01.25", WMS용마재고!$L:$L)+SUMIF(WMS용마재고!$A:$A,"a120-01.25", WMS용마재고!$L:$L)</f>
        <v>133</v>
      </c>
      <c r="H26" s="159">
        <f>SUMIF(WMS용마재고!$A:$A,"s120-01.50", WMS용마재고!$L:$L)+SUMIF(WMS용마재고!$A:$A,"a120-01.50", WMS용마재고!$L:$L)</f>
        <v>223</v>
      </c>
      <c r="I26" s="159">
        <f>SUMIF(WMS용마재고!$A:$A,"s120-01.75", WMS용마재고!$L:$L)+SUMIF(WMS용마재고!$A:$A,"a120-01.75", WMS용마재고!$L:$L)</f>
        <v>221</v>
      </c>
      <c r="J26" s="159">
        <f>SUMIF(WMS용마재고!$A:$A,"s120-02.00", WMS용마재고!$L:$L)+SUMIF(WMS용마재고!$A:$A,"a120-02.00", WMS용마재고!$L:$L)</f>
        <v>804</v>
      </c>
      <c r="K26" s="159">
        <f>SUMIF(WMS용마재고!$A:$A,"s120-02.25", WMS용마재고!$L:$L)+SUMIF(WMS용마재고!$A:$A,"a120-02.25", WMS용마재고!$L:$L)</f>
        <v>586</v>
      </c>
      <c r="L26" s="159">
        <f>SUMIF(WMS용마재고!$A:$A,"s120-02.50", WMS용마재고!$L:$L)+SUMIF(WMS용마재고!$A:$A,"a120-02.50", WMS용마재고!$L:$L)</f>
        <v>378</v>
      </c>
      <c r="M26" s="159">
        <f>SUMIF(WMS용마재고!$A:$A,"s120-02.75", WMS용마재고!$L:$L)+SUMIF(WMS용마재고!$A:$A,"a120-02.75", WMS용마재고!$L:$L)</f>
        <v>904</v>
      </c>
      <c r="N26" s="159">
        <f>SUMIF(WMS용마재고!$A:$A,"s120-03.00", WMS용마재고!$L:$L)+SUMIF(WMS용마재고!$A:$A,"a120-03.00", WMS용마재고!$L:$L)</f>
        <v>588</v>
      </c>
      <c r="O26" s="159">
        <f>SUMIF(WMS용마재고!$A:$A,"s120-03.25", WMS용마재고!$L:$L)+SUMIF(WMS용마재고!$A:$A,"a120-03.25", WMS용마재고!$L:$L)</f>
        <v>508</v>
      </c>
      <c r="P26" s="159">
        <f>SUMIF(WMS용마재고!$A:$A,"s120-03.50", WMS용마재고!$L:$L)+SUMIF(WMS용마재고!$A:$A,"a120-03.50", WMS용마재고!$L:$L)</f>
        <v>634</v>
      </c>
      <c r="Q26" s="159">
        <f>SUMIF(WMS용마재고!$A:$A,"s120-03.75", WMS용마재고!$L:$L)+SUMIF(WMS용마재고!$A:$A,"a120-03.75", WMS용마재고!$L:$L)</f>
        <v>882</v>
      </c>
      <c r="R26" s="159">
        <f>SUMIF(WMS용마재고!$A:$A,"s120-04.00", WMS용마재고!$L:$L)+SUMIF(WMS용마재고!$A:$A,"a120-04.00", WMS용마재고!$L:$L)</f>
        <v>883</v>
      </c>
      <c r="S26" s="159">
        <f>SUMIF(WMS용마재고!$A:$A,"s120-04.25", WMS용마재고!$L:$L)+SUMIF(WMS용마재고!$A:$A,"a120-04.25", WMS용마재고!$L:$L)</f>
        <v>1225</v>
      </c>
      <c r="T26" s="159">
        <f>SUMIF(WMS용마재고!$A:$A,"s120-04.50", WMS용마재고!$L:$L)+SUMIF(WMS용마재고!$A:$A,"a120-04.50", WMS용마재고!$L:$L)</f>
        <v>151</v>
      </c>
      <c r="U26" s="159">
        <f>SUMIF(WMS용마재고!$A:$A,"s120-04.75", WMS용마재고!$L:$L)+SUMIF(WMS용마재고!$A:$A,"a120-04.75", WMS용마재고!$L:$L)</f>
        <v>5</v>
      </c>
      <c r="V26" s="159">
        <f>SUMIF(WMS용마재고!$A:$A,"s120-05.00", WMS용마재고!$L:$L)+SUMIF(WMS용마재고!$A:$A,"a120-05.00", WMS용마재고!$L:$L)</f>
        <v>833</v>
      </c>
      <c r="W26" s="159">
        <f>SUMIF(WMS용마재고!$A:$A,"s120-05.25", WMS용마재고!$L:$L)+SUMIF(WMS용마재고!$A:$A,"a120-05.25", WMS용마재고!$L:$L)</f>
        <v>473</v>
      </c>
      <c r="X26" s="159">
        <f>SUMIF(WMS용마재고!$A:$A,"s120-05.50", WMS용마재고!$L:$L)+SUMIF(WMS용마재고!$A:$A,"a120-05.50", WMS용마재고!$L:$L)</f>
        <v>1389</v>
      </c>
      <c r="Y26" s="159">
        <f>SUMIF(WMS용마재고!$A:$A,"s120-05.75", WMS용마재고!$L:$L)+SUMIF(WMS용마재고!$A:$A,"a120-05.75", WMS용마재고!$L:$L)</f>
        <v>1131</v>
      </c>
      <c r="Z26" s="159">
        <f>SUMIF(WMS용마재고!$A:$A,"s120-06.00", WMS용마재고!$L:$L)+SUMIF(WMS용마재고!$A:$A,"a120-06.00", WMS용마재고!$L:$L)</f>
        <v>232</v>
      </c>
      <c r="AA26" s="159">
        <f>SUMIF(WMS용마재고!$A:$A,"s120-06.50", WMS용마재고!$L:$L)+SUMIF(WMS용마재고!$A:$A,"a120-06.50", WMS용마재고!$L:$L)</f>
        <v>828</v>
      </c>
      <c r="AB26" s="159">
        <f>SUMIF(WMS용마재고!$A:$A,"s120-07.00", WMS용마재고!$L:$L)+SUMIF(WMS용마재고!$A:$A,"a120-07.00", WMS용마재고!$L:$L)</f>
        <v>570</v>
      </c>
      <c r="AC26" s="159">
        <f>SUMIF(WMS용마재고!$A:$A,"s120-07.50", WMS용마재고!$L:$L)+SUMIF(WMS용마재고!$A:$A,"a120-07.50", WMS용마재고!$L:$L)</f>
        <v>567</v>
      </c>
      <c r="AD26" s="159">
        <f>SUMIF(WMS용마재고!$A:$A,"s120-08.00", WMS용마재고!$L:$L)+SUMIF(WMS용마재고!$A:$A,"a120-08.00", WMS용마재고!$L:$L)</f>
        <v>300</v>
      </c>
      <c r="AE26" s="159">
        <f>SUMIF(WMS용마재고!$A:$A,"s120-08.50", WMS용마재고!$L:$L)+SUMIF(WMS용마재고!$A:$A,"a120-08.50", WMS용마재고!$L:$L)</f>
        <v>219</v>
      </c>
      <c r="AF26" s="159">
        <f>SUMIF(WMS용마재고!$A:$A,"s120-09.00", WMS용마재고!$L:$L)+SUMIF(WMS용마재고!$A:$A,"a120-09.00", WMS용마재고!$L:$L)</f>
        <v>385</v>
      </c>
      <c r="AG26" s="159">
        <f>SUMIF(WMS용마재고!$A:$A,"s120-09.50", WMS용마재고!$L:$L)+SUMIF(WMS용마재고!$A:$A,"a120-09.50", WMS용마재고!$L:$L)</f>
        <v>497</v>
      </c>
      <c r="AH26" s="438">
        <f>SUMIF(WMS용마재고!$A:$A,"s120-10.00", WMS용마재고!$L:$L)+SUMIF(WMS용마재고!$A:$A,"a120-10.00", WMS용마재고!$L:$L)</f>
        <v>338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1252</v>
      </c>
      <c r="AP26" s="191">
        <f>SUMIF(WMS용마재고!$A:$A,"s120-00.50", WMS용마재고!$L:$L)+SUMIF(WMS용마재고!$A:$A,"a120-00.50", WMS용마재고!$L:$L)</f>
        <v>479</v>
      </c>
      <c r="AQ26" s="191">
        <f>SUMIF(WMS용마재고!$A:$A,"s120-00.75", WMS용마재고!$L:$L)+SUMIF(WMS용마재고!$A:$A,"a120-00.75", WMS용마재고!$L:$L)</f>
        <v>260</v>
      </c>
      <c r="AR26" s="191">
        <f>SUMIF(WMS용마재고!$A:$A,"s120-01.00", WMS용마재고!$L:$L)+SUMIF(WMS용마재고!$A:$A,"a120-01.00", WMS용마재고!$L:$L)</f>
        <v>181</v>
      </c>
      <c r="AS26" s="191">
        <f>SUMIF(WMS용마재고!$A:$A,"s120-01.25", WMS용마재고!$L:$L)+SUMIF(WMS용마재고!$A:$A,"a120-01.25", WMS용마재고!$L:$L)</f>
        <v>133</v>
      </c>
      <c r="AT26" s="191">
        <f>SUMIF(WMS용마재고!$A:$A,"s120-01.50", WMS용마재고!$L:$L)+SUMIF(WMS용마재고!$A:$A,"a120-01.50", WMS용마재고!$L:$L)</f>
        <v>223</v>
      </c>
      <c r="AU26" s="191">
        <f>SUMIF(WMS용마재고!$A:$A,"s120-01.75", WMS용마재고!$L:$L)+SUMIF(WMS용마재고!$A:$A,"a120-01.75", WMS용마재고!$L:$L)</f>
        <v>221</v>
      </c>
      <c r="AV26" s="191">
        <f>SUMIF(WMS용마재고!$A:$A,"s120-02.00", WMS용마재고!$L:$L)+SUMIF(WMS용마재고!$A:$A,"a120-02.00", WMS용마재고!$L:$L)</f>
        <v>804</v>
      </c>
      <c r="AW26" s="191">
        <f>SUMIF(WMS용마재고!$A:$A,"s120-02.25", WMS용마재고!$L:$L)+SUMIF(WMS용마재고!$A:$A,"a120-02.25", WMS용마재고!$L:$L)</f>
        <v>586</v>
      </c>
      <c r="AX26" s="191">
        <f>SUMIF(WMS용마재고!$A:$A,"s120-02.50", WMS용마재고!$L:$L)+SUMIF(WMS용마재고!$A:$A,"a120-02.50", WMS용마재고!$L:$L)</f>
        <v>378</v>
      </c>
      <c r="AY26" s="191">
        <f>SUMIF(WMS용마재고!$A:$A,"s120-02.75", WMS용마재고!$L:$L)+SUMIF(WMS용마재고!$A:$A,"a120-02.75", WMS용마재고!$L:$L)</f>
        <v>904</v>
      </c>
      <c r="AZ26" s="191">
        <f>SUMIF(WMS용마재고!$A:$A,"s120-03.00", WMS용마재고!$L:$L)+SUMIF(WMS용마재고!$A:$A,"a120-03.00", WMS용마재고!$L:$L)</f>
        <v>588</v>
      </c>
      <c r="BA26" s="191">
        <f>SUMIF(WMS용마재고!$A:$A,"s120-03.25", WMS용마재고!$L:$L)+SUMIF(WMS용마재고!$A:$A,"a120-03.25", WMS용마재고!$L:$L)</f>
        <v>508</v>
      </c>
      <c r="BB26" s="191">
        <f>SUMIF(WMS용마재고!$A:$A,"s120-03.50", WMS용마재고!$L:$L)+SUMIF(WMS용마재고!$A:$A,"a120-03.50", WMS용마재고!$L:$L)</f>
        <v>634</v>
      </c>
      <c r="BC26" s="191">
        <f>SUMIF(WMS용마재고!$A:$A,"s120-03.75", WMS용마재고!$L:$L)+SUMIF(WMS용마재고!$A:$A,"a120-03.75", WMS용마재고!$L:$L)</f>
        <v>882</v>
      </c>
      <c r="BD26" s="191">
        <f>SUMIF(WMS용마재고!$A:$A,"s120-04.00", WMS용마재고!$L:$L)+SUMIF(WMS용마재고!$A:$A,"a120-04.00", WMS용마재고!$L:$L)</f>
        <v>883</v>
      </c>
      <c r="BE26" s="191">
        <f>SUMIF(WMS용마재고!$A:$A,"s120-04.25", WMS용마재고!$L:$L)+SUMIF(WMS용마재고!$A:$A,"a120-04.25", WMS용마재고!$L:$L)</f>
        <v>1225</v>
      </c>
      <c r="BF26" s="191">
        <f>SUMIF(WMS용마재고!$A:$A,"s120-04.50", WMS용마재고!$L:$L)+SUMIF(WMS용마재고!$A:$A,"a120-04.50", WMS용마재고!$L:$L)</f>
        <v>151</v>
      </c>
      <c r="BG26" s="191">
        <f>SUMIF(WMS용마재고!$A:$A,"s120-04.75", WMS용마재고!$L:$L)+SUMIF(WMS용마재고!$A:$A,"a120-04.75", WMS용마재고!$L:$L)</f>
        <v>5</v>
      </c>
      <c r="BH26" s="191">
        <f>SUMIF(WMS용마재고!$A:$A,"s120-05.00", WMS용마재고!$L:$L)+SUMIF(WMS용마재고!$A:$A,"a120-05.00", WMS용마재고!$L:$L)</f>
        <v>833</v>
      </c>
      <c r="BI26" s="191">
        <f>SUMIF(WMS용마재고!$A:$A,"s120-05.25", WMS용마재고!$L:$L)+SUMIF(WMS용마재고!$A:$A,"a120-05.25", WMS용마재고!$L:$L)</f>
        <v>473</v>
      </c>
      <c r="BJ26" s="191">
        <f>SUMIF(WMS용마재고!$A:$A,"s120-05.50", WMS용마재고!$L:$L)+SUMIF(WMS용마재고!$A:$A,"a120-05.50", WMS용마재고!$L:$L)</f>
        <v>1389</v>
      </c>
      <c r="BK26" s="191">
        <f>SUMIF(WMS용마재고!$A:$A,"s120-05.75", WMS용마재고!$L:$L)+SUMIF(WMS용마재고!$A:$A,"a120-05.75", WMS용마재고!$L:$L)</f>
        <v>1131</v>
      </c>
      <c r="BL26" s="191">
        <f>SUMIF(WMS용마재고!$A:$A,"s120-06.00", WMS용마재고!$L:$L)+SUMIF(WMS용마재고!$A:$A,"a120-06.00", WMS용마재고!$L:$L)</f>
        <v>232</v>
      </c>
      <c r="BM26" s="191">
        <f>SUMIF(WMS용마재고!$A:$A,"s120-06.50", WMS용마재고!$L:$L)+SUMIF(WMS용마재고!$A:$A,"a120-06.50", WMS용마재고!$L:$L)</f>
        <v>828</v>
      </c>
      <c r="BN26" s="191">
        <f>SUMIF(WMS용마재고!$A:$A,"s120-07.00", WMS용마재고!$L:$L)+SUMIF(WMS용마재고!$A:$A,"a120-07.00", WMS용마재고!$L:$L)</f>
        <v>570</v>
      </c>
      <c r="BO26" s="191">
        <f>SUMIF(WMS용마재고!$A:$A,"s120-07.50", WMS용마재고!$L:$L)+SUMIF(WMS용마재고!$A:$A,"a120-07.50", WMS용마재고!$L:$L)</f>
        <v>567</v>
      </c>
      <c r="BP26" s="191">
        <f>SUMIF(WMS용마재고!$A:$A,"s120-08.00", WMS용마재고!$L:$L)+SUMIF(WMS용마재고!$A:$A,"a120-08.00", WMS용마재고!$L:$L)</f>
        <v>300</v>
      </c>
      <c r="BQ26" s="191">
        <f>SUMIF(WMS용마재고!$A:$A,"s120-08.50", WMS용마재고!$L:$L)+SUMIF(WMS용마재고!$A:$A,"a120-08.50", WMS용마재고!$L:$L)</f>
        <v>219</v>
      </c>
      <c r="BR26" s="191">
        <f>SUMIF(WMS용마재고!$A:$A,"s120-09.00", WMS용마재고!$L:$L)+SUMIF(WMS용마재고!$A:$A,"a120-09.00", WMS용마재고!$L:$L)</f>
        <v>385</v>
      </c>
      <c r="BS26" s="191">
        <f>SUMIF(WMS용마재고!$A:$A,"s120-09.50", WMS용마재고!$L:$L)+SUMIF(WMS용마재고!$A:$A,"a120-09.50", WMS용마재고!$L:$L)</f>
        <v>497</v>
      </c>
      <c r="BT26" s="191">
        <f>SUMIF(WMS용마재고!$A:$A,"s120-10.00", WMS용마재고!$L:$L)+SUMIF(WMS용마재고!$A:$A,"a120-10.00", WMS용마재고!$L:$L)</f>
        <v>338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1292</v>
      </c>
      <c r="BZ26" s="192">
        <v>479</v>
      </c>
      <c r="CA26" s="192">
        <v>260</v>
      </c>
      <c r="CB26" s="192">
        <v>216</v>
      </c>
      <c r="CC26" s="192">
        <v>168</v>
      </c>
      <c r="CD26" s="192">
        <v>258</v>
      </c>
      <c r="CE26" s="192">
        <v>256</v>
      </c>
      <c r="CF26" s="192">
        <v>839</v>
      </c>
      <c r="CG26" s="192">
        <v>621</v>
      </c>
      <c r="CH26" s="192">
        <v>413</v>
      </c>
      <c r="CI26" s="192">
        <v>939</v>
      </c>
      <c r="CJ26" s="192">
        <v>623</v>
      </c>
      <c r="CK26" s="192">
        <v>543</v>
      </c>
      <c r="CL26" s="192">
        <v>669</v>
      </c>
      <c r="CM26" s="192">
        <v>917</v>
      </c>
      <c r="CN26" s="192">
        <v>918</v>
      </c>
      <c r="CO26" s="192">
        <v>1260</v>
      </c>
      <c r="CP26" s="192">
        <v>186</v>
      </c>
      <c r="CQ26" s="193">
        <v>40</v>
      </c>
      <c r="CR26" s="193">
        <v>863</v>
      </c>
      <c r="CS26" s="193">
        <v>488</v>
      </c>
      <c r="CT26" s="193">
        <v>1404</v>
      </c>
      <c r="CU26" s="193">
        <v>1146</v>
      </c>
      <c r="CV26" s="193">
        <v>247</v>
      </c>
      <c r="CW26" s="193">
        <v>843</v>
      </c>
      <c r="CX26" s="193">
        <v>585</v>
      </c>
      <c r="CY26" s="193">
        <v>567</v>
      </c>
      <c r="CZ26" s="193">
        <v>300</v>
      </c>
      <c r="DA26" s="193">
        <v>219</v>
      </c>
      <c r="DB26" s="193">
        <v>385</v>
      </c>
      <c r="DC26" s="193">
        <v>497</v>
      </c>
      <c r="DD26" s="193">
        <v>338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>경고</v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554</v>
      </c>
      <c r="D27" s="159">
        <f>SUMIF(WMS용마재고!$A:$A,"S128-00.50", WMS용마재고!$L:$L)+SUMIF(WMS용마재고!$A:$A,"a128-00.50", WMS용마재고!$L:$L)</f>
        <v>202</v>
      </c>
      <c r="E27" s="479">
        <f>SUMIF(WMS용마재고!$A:$A,"S128-00.75", WMS용마재고!$L:$L)+SUMIF(WMS용마재고!$A:$A,"a128-00.75", WMS용마재고!$L:$L)</f>
        <v>223</v>
      </c>
      <c r="F27" s="159">
        <f>SUMIF(WMS용마재고!$A:$A,"S128-01.00", WMS용마재고!$L:$L)+SUMIF(WMS용마재고!$A:$A,"a128-01.00", WMS용마재고!$L:$L)</f>
        <v>301</v>
      </c>
      <c r="G27" s="159">
        <f>SUMIF(WMS용마재고!$A:$A,"S128-01.25", WMS용마재고!$L:$L)+SUMIF(WMS용마재고!$A:$A,"a128-01.25", WMS용마재고!$L:$L)</f>
        <v>393</v>
      </c>
      <c r="H27" s="159">
        <f>SUMIF(WMS용마재고!$A:$A,"S128-01.50", WMS용마재고!$L:$L)+SUMIF(WMS용마재고!$A:$A,"a128-01.50", WMS용마재고!$L:$L)</f>
        <v>365</v>
      </c>
      <c r="I27" s="159">
        <f>SUMIF(WMS용마재고!$A:$A,"S128-01.75", WMS용마재고!$L:$L)+SUMIF(WMS용마재고!$A:$A,"a128-01.75", WMS용마재고!$L:$L)</f>
        <v>485</v>
      </c>
      <c r="J27" s="159">
        <f>SUMIF(WMS용마재고!$A:$A,"S128-02.00", WMS용마재고!$L:$L)+SUMIF(WMS용마재고!$A:$A,"a128-02.00", WMS용마재고!$L:$L)</f>
        <v>610</v>
      </c>
      <c r="K27" s="159">
        <f>SUMIF(WMS용마재고!$A:$A,"S128-02.25", WMS용마재고!$L:$L)+SUMIF(WMS용마재고!$A:$A,"a128-02.25", WMS용마재고!$L:$L)</f>
        <v>359</v>
      </c>
      <c r="L27" s="159">
        <f>SUMIF(WMS용마재고!$A:$A,"S128-02.50", WMS용마재고!$L:$L)+SUMIF(WMS용마재고!$A:$A,"a128-02.50", WMS용마재고!$L:$L)</f>
        <v>322</v>
      </c>
      <c r="M27" s="159">
        <f>SUMIF(WMS용마재고!$A:$A,"S128-02.75", WMS용마재고!$L:$L)+SUMIF(WMS용마재고!$A:$A,"a128-02.75", WMS용마재고!$L:$L)</f>
        <v>228</v>
      </c>
      <c r="N27" s="159">
        <f>SUMIF(WMS용마재고!$A:$A,"S128-03.00", WMS용마재고!$L:$L)+SUMIF(WMS용마재고!$A:$A,"a128-03.00", WMS용마재고!$L:$L)</f>
        <v>454</v>
      </c>
      <c r="O27" s="159">
        <f>SUMIF(WMS용마재고!$A:$A,"S128-03.25", WMS용마재고!$L:$L)+SUMIF(WMS용마재고!$A:$A,"a128-03.25", WMS용마재고!$L:$L)</f>
        <v>286</v>
      </c>
      <c r="P27" s="159">
        <f>SUMIF(WMS용마재고!$A:$A,"S128-03.50", WMS용마재고!$L:$L)+SUMIF(WMS용마재고!$A:$A,"a128-03.50", WMS용마재고!$L:$L)</f>
        <v>543</v>
      </c>
      <c r="Q27" s="159">
        <f>SUMIF(WMS용마재고!$A:$A,"S128-03.75", WMS용마재고!$L:$L)+SUMIF(WMS용마재고!$A:$A,"a128-03.75", WMS용마재고!$L:$L)</f>
        <v>434</v>
      </c>
      <c r="R27" s="159">
        <f>SUMIF(WMS용마재고!$A:$A,"S128-04.00", WMS용마재고!$L:$L)+SUMIF(WMS용마재고!$A:$A,"a128-04.00", WMS용마재고!$L:$L)</f>
        <v>658</v>
      </c>
      <c r="S27" s="159">
        <f>SUMIF(WMS용마재고!$A:$A,"S128-04.25", WMS용마재고!$L:$L)+SUMIF(WMS용마재고!$A:$A,"a128-04.25", WMS용마재고!$L:$L)</f>
        <v>193</v>
      </c>
      <c r="T27" s="159">
        <f>SUMIF(WMS용마재고!$A:$A,"S128-04.50", WMS용마재고!$L:$L)+SUMIF(WMS용마재고!$A:$A,"a128-04.50", WMS용마재고!$L:$L)</f>
        <v>384</v>
      </c>
      <c r="U27" s="159">
        <f>SUMIF(WMS용마재고!$A:$A,"S128-04.75", WMS용마재고!$L:$L)+SUMIF(WMS용마재고!$A:$A,"a128-04.75", WMS용마재고!$L:$L)</f>
        <v>306</v>
      </c>
      <c r="V27" s="159">
        <f>SUMIF(WMS용마재고!$A:$A,"S128-05.00", WMS용마재고!$L:$L)+SUMIF(WMS용마재고!$A:$A,"a128-05.00", WMS용마재고!$L:$L)</f>
        <v>598</v>
      </c>
      <c r="W27" s="159">
        <f>SUMIF(WMS용마재고!$A:$A,"S128-05.25", WMS용마재고!$L:$L)+SUMIF(WMS용마재고!$A:$A,"a128-05.25", WMS용마재고!$L:$L)</f>
        <v>588</v>
      </c>
      <c r="X27" s="159">
        <f>SUMIF(WMS용마재고!$A:$A,"S128-05.50", WMS용마재고!$L:$L)+SUMIF(WMS용마재고!$A:$A,"a128-05.50", WMS용마재고!$L:$L)</f>
        <v>483</v>
      </c>
      <c r="Y27" s="159">
        <f>SUMIF(WMS용마재고!$A:$A,"S128-05.75", WMS용마재고!$L:$L)+SUMIF(WMS용마재고!$A:$A,"a128-05.75", WMS용마재고!$L:$L)</f>
        <v>371</v>
      </c>
      <c r="Z27" s="159">
        <f>SUMIF(WMS용마재고!$A:$A,"S128-06.00", WMS용마재고!$L:$L)+SUMIF(WMS용마재고!$A:$A,"a128-06.00", WMS용마재고!$L:$L)</f>
        <v>449</v>
      </c>
      <c r="AA27" s="159">
        <f>SUMIF(WMS용마재고!$A:$A,"S128-06.50", WMS용마재고!$L:$L)+SUMIF(WMS용마재고!$A:$A,"a128-06.50", WMS용마재고!$L:$L)</f>
        <v>296</v>
      </c>
      <c r="AB27" s="159">
        <f>SUMIF(WMS용마재고!$A:$A,"S128-07.00", WMS용마재고!$L:$L)+SUMIF(WMS용마재고!$A:$A,"a128-07.00", WMS용마재고!$L:$L)</f>
        <v>203</v>
      </c>
      <c r="AC27" s="159">
        <f>SUMIF(WMS용마재고!$A:$A,"S128-07.50", WMS용마재고!$L:$L)+SUMIF(WMS용마재고!$A:$A,"a128-07.50", WMS용마재고!$L:$L)</f>
        <v>186</v>
      </c>
      <c r="AD27" s="159">
        <f>SUMIF(WMS용마재고!$A:$A,"S128-08.00", WMS용마재고!$L:$L)+SUMIF(WMS용마재고!$A:$A,"a128-08.00", WMS용마재고!$L:$L)</f>
        <v>243</v>
      </c>
      <c r="AE27" s="159">
        <f>SUMIF(WMS용마재고!$A:$A,"S128-08.50", WMS용마재고!$L:$L)+SUMIF(WMS용마재고!$A:$A,"a128-08.50", WMS용마재고!$L:$L)</f>
        <v>178</v>
      </c>
      <c r="AF27" s="159">
        <f>SUMIF(WMS용마재고!$A:$A,"S128-09.00", WMS용마재고!$L:$L)+SUMIF(WMS용마재고!$A:$A,"a128-09.00", WMS용마재고!$L:$L)</f>
        <v>138</v>
      </c>
      <c r="AG27" s="159">
        <f>SUMIF(WMS용마재고!$A:$A,"S128-09.50", WMS용마재고!$L:$L)+SUMIF(WMS용마재고!$A:$A,"a128-09.50", WMS용마재고!$L:$L)</f>
        <v>593</v>
      </c>
      <c r="AH27" s="438">
        <f>SUMIF(WMS용마재고!$A:$A,"S128-10.00", WMS용마재고!$L:$L)+SUMIF(WMS용마재고!$A:$A,"a128-10.00", WMS용마재고!$L:$L)</f>
        <v>200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554</v>
      </c>
      <c r="AP27" s="191">
        <f>SUMIF(WMS용마재고!$A:$A,"S128-00.50", WMS용마재고!$L:$L)+SUMIF(WMS용마재고!$A:$A,"a128-00.50", WMS용마재고!$L:$L)</f>
        <v>202</v>
      </c>
      <c r="AQ27" s="191">
        <f>SUMIF(WMS용마재고!$A:$A,"S128-00.75", WMS용마재고!$L:$L)+SUMIF(WMS용마재고!$A:$A,"a128-00.75", WMS용마재고!$L:$L)</f>
        <v>223</v>
      </c>
      <c r="AR27" s="191">
        <f>SUMIF(WMS용마재고!$A:$A,"S128-01.00", WMS용마재고!$L:$L)+SUMIF(WMS용마재고!$A:$A,"a128-01.00", WMS용마재고!$L:$L)</f>
        <v>301</v>
      </c>
      <c r="AS27" s="191">
        <f>SUMIF(WMS용마재고!$A:$A,"S128-01.25", WMS용마재고!$L:$L)+SUMIF(WMS용마재고!$A:$A,"a128-01.25", WMS용마재고!$L:$L)</f>
        <v>393</v>
      </c>
      <c r="AT27" s="191">
        <f>SUMIF(WMS용마재고!$A:$A,"S128-01.50", WMS용마재고!$L:$L)+SUMIF(WMS용마재고!$A:$A,"a128-01.50", WMS용마재고!$L:$L)</f>
        <v>365</v>
      </c>
      <c r="AU27" s="191">
        <f>SUMIF(WMS용마재고!$A:$A,"S128-01.75", WMS용마재고!$L:$L)+SUMIF(WMS용마재고!$A:$A,"a128-01.75", WMS용마재고!$L:$L)</f>
        <v>485</v>
      </c>
      <c r="AV27" s="191">
        <f>SUMIF(WMS용마재고!$A:$A,"S128-02.00", WMS용마재고!$L:$L)+SUMIF(WMS용마재고!$A:$A,"a128-02.00", WMS용마재고!$L:$L)</f>
        <v>610</v>
      </c>
      <c r="AW27" s="191">
        <f>SUMIF(WMS용마재고!$A:$A,"S128-02.25", WMS용마재고!$L:$L)+SUMIF(WMS용마재고!$A:$A,"a128-02.25", WMS용마재고!$L:$L)</f>
        <v>359</v>
      </c>
      <c r="AX27" s="191">
        <f>SUMIF(WMS용마재고!$A:$A,"S128-02.50", WMS용마재고!$L:$L)+SUMIF(WMS용마재고!$A:$A,"a128-02.50", WMS용마재고!$L:$L)</f>
        <v>322</v>
      </c>
      <c r="AY27" s="191">
        <f>SUMIF(WMS용마재고!$A:$A,"S128-02.75", WMS용마재고!$L:$L)+SUMIF(WMS용마재고!$A:$A,"a128-02.75", WMS용마재고!$L:$L)</f>
        <v>228</v>
      </c>
      <c r="AZ27" s="191">
        <f>SUMIF(WMS용마재고!$A:$A,"S128-03.00", WMS용마재고!$L:$L)+SUMIF(WMS용마재고!$A:$A,"a128-03.00", WMS용마재고!$L:$L)</f>
        <v>454</v>
      </c>
      <c r="BA27" s="191">
        <f>SUMIF(WMS용마재고!$A:$A,"S128-03.25", WMS용마재고!$L:$L)+SUMIF(WMS용마재고!$A:$A,"a128-03.25", WMS용마재고!$L:$L)</f>
        <v>286</v>
      </c>
      <c r="BB27" s="191">
        <f>SUMIF(WMS용마재고!$A:$A,"S128-03.50", WMS용마재고!$L:$L)+SUMIF(WMS용마재고!$A:$A,"a128-03.50", WMS용마재고!$L:$L)</f>
        <v>543</v>
      </c>
      <c r="BC27" s="191">
        <f>SUMIF(WMS용마재고!$A:$A,"S128-03.75", WMS용마재고!$L:$L)+SUMIF(WMS용마재고!$A:$A,"a128-03.75", WMS용마재고!$L:$L)</f>
        <v>434</v>
      </c>
      <c r="BD27" s="191">
        <f>SUMIF(WMS용마재고!$A:$A,"S128-04.00", WMS용마재고!$L:$L)+SUMIF(WMS용마재고!$A:$A,"a128-04.00", WMS용마재고!$L:$L)</f>
        <v>658</v>
      </c>
      <c r="BE27" s="191">
        <f>SUMIF(WMS용마재고!$A:$A,"S128-04.25", WMS용마재고!$L:$L)+SUMIF(WMS용마재고!$A:$A,"a128-04.25", WMS용마재고!$L:$L)</f>
        <v>193</v>
      </c>
      <c r="BF27" s="191">
        <f>SUMIF(WMS용마재고!$A:$A,"S128-04.50", WMS용마재고!$L:$L)+SUMIF(WMS용마재고!$A:$A,"a128-04.50", WMS용마재고!$L:$L)</f>
        <v>384</v>
      </c>
      <c r="BG27" s="191">
        <f>SUMIF(WMS용마재고!$A:$A,"S128-04.75", WMS용마재고!$L:$L)+SUMIF(WMS용마재고!$A:$A,"a128-04.75", WMS용마재고!$L:$L)</f>
        <v>306</v>
      </c>
      <c r="BH27" s="191">
        <f>SUMIF(WMS용마재고!$A:$A,"S128-05.00", WMS용마재고!$L:$L)+SUMIF(WMS용마재고!$A:$A,"a128-05.00", WMS용마재고!$L:$L)</f>
        <v>598</v>
      </c>
      <c r="BI27" s="191">
        <f>SUMIF(WMS용마재고!$A:$A,"S128-05.25", WMS용마재고!$L:$L)+SUMIF(WMS용마재고!$A:$A,"a128-05.25", WMS용마재고!$L:$L)</f>
        <v>588</v>
      </c>
      <c r="BJ27" s="191">
        <f>SUMIF(WMS용마재고!$A:$A,"S128-05.50", WMS용마재고!$L:$L)+SUMIF(WMS용마재고!$A:$A,"a128-05.50", WMS용마재고!$L:$L)</f>
        <v>483</v>
      </c>
      <c r="BK27" s="191">
        <f>SUMIF(WMS용마재고!$A:$A,"S128-05.75", WMS용마재고!$L:$L)+SUMIF(WMS용마재고!$A:$A,"a128-05.75", WMS용마재고!$L:$L)</f>
        <v>371</v>
      </c>
      <c r="BL27" s="191">
        <f>SUMIF(WMS용마재고!$A:$A,"S128-06.00", WMS용마재고!$L:$L)+SUMIF(WMS용마재고!$A:$A,"a128-06.00", WMS용마재고!$L:$L)</f>
        <v>449</v>
      </c>
      <c r="BM27" s="191">
        <f>SUMIF(WMS용마재고!$A:$A,"S128-06.50", WMS용마재고!$L:$L)+SUMIF(WMS용마재고!$A:$A,"a128-06.50", WMS용마재고!$L:$L)</f>
        <v>296</v>
      </c>
      <c r="BN27" s="191">
        <f>SUMIF(WMS용마재고!$A:$A,"S128-07.00", WMS용마재고!$L:$L)+SUMIF(WMS용마재고!$A:$A,"a128-07.00", WMS용마재고!$L:$L)</f>
        <v>203</v>
      </c>
      <c r="BO27" s="191">
        <f>SUMIF(WMS용마재고!$A:$A,"S128-07.50", WMS용마재고!$L:$L)+SUMIF(WMS용마재고!$A:$A,"a128-07.50", WMS용마재고!$L:$L)</f>
        <v>186</v>
      </c>
      <c r="BP27" s="191">
        <f>SUMIF(WMS용마재고!$A:$A,"S128-08.00", WMS용마재고!$L:$L)+SUMIF(WMS용마재고!$A:$A,"a128-08.00", WMS용마재고!$L:$L)</f>
        <v>243</v>
      </c>
      <c r="BQ27" s="191">
        <f>SUMIF(WMS용마재고!$A:$A,"S128-08.50", WMS용마재고!$L:$L)+SUMIF(WMS용마재고!$A:$A,"a128-08.50", WMS용마재고!$L:$L)</f>
        <v>178</v>
      </c>
      <c r="BR27" s="191">
        <f>SUMIF(WMS용마재고!$A:$A,"S128-09.00", WMS용마재고!$L:$L)+SUMIF(WMS용마재고!$A:$A,"a128-09.00", WMS용마재고!$L:$L)</f>
        <v>138</v>
      </c>
      <c r="BS27" s="191">
        <f>SUMIF(WMS용마재고!$A:$A,"S128-09.50", WMS용마재고!$L:$L)+SUMIF(WMS용마재고!$A:$A,"a128-09.50", WMS용마재고!$L:$L)</f>
        <v>593</v>
      </c>
      <c r="BT27" s="191">
        <f>SUMIF(WMS용마재고!$A:$A,"S128-10.00", WMS용마재고!$L:$L)+SUMIF(WMS용마재고!$A:$A,"a128-10.00", WMS용마재고!$L:$L)</f>
        <v>200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579</v>
      </c>
      <c r="BZ27" s="192">
        <v>202</v>
      </c>
      <c r="CA27" s="192">
        <v>223</v>
      </c>
      <c r="CB27" s="192">
        <v>311</v>
      </c>
      <c r="CC27" s="192">
        <v>403</v>
      </c>
      <c r="CD27" s="192">
        <v>375</v>
      </c>
      <c r="CE27" s="192">
        <v>495</v>
      </c>
      <c r="CF27" s="192">
        <v>620</v>
      </c>
      <c r="CG27" s="192">
        <v>369</v>
      </c>
      <c r="CH27" s="192">
        <v>332</v>
      </c>
      <c r="CI27" s="192">
        <v>238</v>
      </c>
      <c r="CJ27" s="192">
        <v>464</v>
      </c>
      <c r="CK27" s="192">
        <v>296</v>
      </c>
      <c r="CL27" s="192">
        <v>553</v>
      </c>
      <c r="CM27" s="192">
        <v>444</v>
      </c>
      <c r="CN27" s="192">
        <v>668</v>
      </c>
      <c r="CO27" s="192">
        <v>203</v>
      </c>
      <c r="CP27" s="192">
        <v>394</v>
      </c>
      <c r="CQ27" s="193">
        <v>316</v>
      </c>
      <c r="CR27" s="193">
        <v>608</v>
      </c>
      <c r="CS27" s="193">
        <v>588</v>
      </c>
      <c r="CT27" s="193">
        <v>483</v>
      </c>
      <c r="CU27" s="193">
        <v>371</v>
      </c>
      <c r="CV27" s="193">
        <v>449</v>
      </c>
      <c r="CW27" s="193">
        <v>296</v>
      </c>
      <c r="CX27" s="193">
        <v>203</v>
      </c>
      <c r="CY27" s="193">
        <v>186</v>
      </c>
      <c r="CZ27" s="193">
        <v>243</v>
      </c>
      <c r="DA27" s="193">
        <v>178</v>
      </c>
      <c r="DB27" s="193">
        <v>138</v>
      </c>
      <c r="DC27" s="193">
        <v>593</v>
      </c>
      <c r="DD27" s="193">
        <v>200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1298</v>
      </c>
      <c r="D28" s="479">
        <f>SUMIF(WMS용마재고!$A:$A,"S130-00.50", WMS용마재고!$L:$L)+SUMIF(WMS용마재고!$A:$A,"a130-00.50", WMS용마재고!$L:$L)</f>
        <v>393</v>
      </c>
      <c r="E28" s="479">
        <f>SUMIF(WMS용마재고!$A:$A,"S130-00.75", WMS용마재고!$L:$L)+SUMIF(WMS용마재고!$A:$A,"a130-00.75", WMS용마재고!$L:$L)</f>
        <v>230</v>
      </c>
      <c r="F28" s="159">
        <f>SUMIF(WMS용마재고!$A:$A,"S130-01.00", WMS용마재고!$L:$L)+SUMIF(WMS용마재고!$A:$A,"a130-01.00", WMS용마재고!$L:$L)</f>
        <v>767</v>
      </c>
      <c r="G28" s="159">
        <f>SUMIF(WMS용마재고!$A:$A,"S130-01.25", WMS용마재고!$L:$L)+SUMIF(WMS용마재고!$A:$A,"a130-01.25", WMS용마재고!$L:$L)</f>
        <v>533</v>
      </c>
      <c r="H28" s="159">
        <f>SUMIF(WMS용마재고!$A:$A,"S130-01.50", WMS용마재고!$L:$L)+SUMIF(WMS용마재고!$A:$A,"a130-01.50", WMS용마재고!$L:$L)</f>
        <v>462</v>
      </c>
      <c r="I28" s="159">
        <f>SUMIF(WMS용마재고!$A:$A,"S130-01.75", WMS용마재고!$L:$L)+SUMIF(WMS용마재고!$A:$A,"a130-01.75", WMS용마재고!$L:$L)</f>
        <v>518</v>
      </c>
      <c r="J28" s="159">
        <f>SUMIF(WMS용마재고!$A:$A,"S130-02.00", WMS용마재고!$L:$L)+SUMIF(WMS용마재고!$A:$A,"a130-02.00", WMS용마재고!$L:$L)</f>
        <v>466</v>
      </c>
      <c r="K28" s="159">
        <f>SUMIF(WMS용마재고!$A:$A,"S130-02.25", WMS용마재고!$L:$L)+SUMIF(WMS용마재고!$A:$A,"a130-02.25", WMS용마재고!$L:$L)</f>
        <v>484</v>
      </c>
      <c r="L28" s="159">
        <f>SUMIF(WMS용마재고!$A:$A,"S130-02.50", WMS용마재고!$L:$L)+SUMIF(WMS용마재고!$A:$A,"a130-02.50", WMS용마재고!$L:$L)</f>
        <v>589</v>
      </c>
      <c r="M28" s="159">
        <f>SUMIF(WMS용마재고!$A:$A,"S130-02.75", WMS용마재고!$L:$L)+SUMIF(WMS용마재고!$A:$A,"a130-02.75", WMS용마재고!$L:$L)</f>
        <v>489</v>
      </c>
      <c r="N28" s="159">
        <f>SUMIF(WMS용마재고!$A:$A,"S130-03.00", WMS용마재고!$L:$L)+SUMIF(WMS용마재고!$A:$A,"a130-03.00", WMS용마재고!$L:$L)</f>
        <v>469</v>
      </c>
      <c r="O28" s="159">
        <f>SUMIF(WMS용마재고!$A:$A,"S130-03.25", WMS용마재고!$L:$L)+SUMIF(WMS용마재고!$A:$A,"a130-03.25", WMS용마재고!$L:$L)</f>
        <v>376</v>
      </c>
      <c r="P28" s="159">
        <f>SUMIF(WMS용마재고!$A:$A,"S130-03.50", WMS용마재고!$L:$L)+SUMIF(WMS용마재고!$A:$A,"a130-03.50", WMS용마재고!$L:$L)</f>
        <v>742</v>
      </c>
      <c r="Q28" s="159">
        <f>SUMIF(WMS용마재고!$A:$A,"S130-03.75", WMS용마재고!$L:$L)+SUMIF(WMS용마재고!$A:$A,"a130-03.75", WMS용마재고!$L:$L)</f>
        <v>513</v>
      </c>
      <c r="R28" s="159">
        <f>SUMIF(WMS용마재고!$A:$A,"S130-04.00", WMS용마재고!$L:$L)+SUMIF(WMS용마재고!$A:$A,"a130-04.00", WMS용마재고!$L:$L)</f>
        <v>372</v>
      </c>
      <c r="S28" s="159">
        <f>SUMIF(WMS용마재고!$A:$A,"S130-04.25", WMS용마재고!$L:$L)+SUMIF(WMS용마재고!$A:$A,"a130-04.25", WMS용마재고!$L:$L)</f>
        <v>754</v>
      </c>
      <c r="T28" s="159">
        <f>SUMIF(WMS용마재고!$A:$A,"S130-04.50", WMS용마재고!$L:$L)+SUMIF(WMS용마재고!$A:$A,"a130-04.50", WMS용마재고!$L:$L)</f>
        <v>704</v>
      </c>
      <c r="U28" s="159">
        <f>SUMIF(WMS용마재고!$A:$A,"S130-04.75", WMS용마재고!$L:$L)+SUMIF(WMS용마재고!$A:$A,"a130-04.75", WMS용마재고!$L:$L)</f>
        <v>627</v>
      </c>
      <c r="V28" s="159">
        <f>SUMIF(WMS용마재고!$A:$A,"S130-05.00", WMS용마재고!$L:$L)+SUMIF(WMS용마재고!$A:$A,"a130-05.00", WMS용마재고!$L:$L)</f>
        <v>563</v>
      </c>
      <c r="W28" s="159">
        <f>SUMIF(WMS용마재고!$A:$A,"S130-05.25", WMS용마재고!$L:$L)+SUMIF(WMS용마재고!$A:$A,"a130-05.25", WMS용마재고!$L:$L)</f>
        <v>492</v>
      </c>
      <c r="X28" s="159">
        <f>SUMIF(WMS용마재고!$A:$A,"S130-05.50", WMS용마재고!$L:$L)+SUMIF(WMS용마재고!$A:$A,"a130-05.50", WMS용마재고!$L:$L)</f>
        <v>528</v>
      </c>
      <c r="Y28" s="159">
        <f>SUMIF(WMS용마재고!$A:$A,"S130-05.75", WMS용마재고!$L:$L)+SUMIF(WMS용마재고!$A:$A,"a130-05.75", WMS용마재고!$L:$L)</f>
        <v>379</v>
      </c>
      <c r="Z28" s="159">
        <f>SUMIF(WMS용마재고!$A:$A,"S130-06.00", WMS용마재고!$L:$L)+SUMIF(WMS용마재고!$A:$A,"a130-06.00", WMS용마재고!$L:$L)</f>
        <v>608</v>
      </c>
      <c r="AA28" s="159">
        <f>SUMIF(WMS용마재고!$A:$A,"S130-06.50", WMS용마재고!$L:$L)+SUMIF(WMS용마재고!$A:$A,"a130-06.50", WMS용마재고!$L:$L)</f>
        <v>598</v>
      </c>
      <c r="AB28" s="159">
        <f>SUMIF(WMS용마재고!$A:$A,"S130-07.00", WMS용마재고!$L:$L)+SUMIF(WMS용마재고!$A:$A,"a130-07.00", WMS용마재고!$L:$L)</f>
        <v>901</v>
      </c>
      <c r="AC28" s="159">
        <f>SUMIF(WMS용마재고!$A:$A,"S130-07.50", WMS용마재고!$L:$L)+SUMIF(WMS용마재고!$A:$A,"a130-07.50", WMS용마재고!$L:$L)</f>
        <v>458</v>
      </c>
      <c r="AD28" s="159">
        <f>SUMIF(WMS용마재고!$A:$A,"S130-08.00", WMS용마재고!$L:$L)+SUMIF(WMS용마재고!$A:$A,"a130-08.00", WMS용마재고!$L:$L)</f>
        <v>586</v>
      </c>
      <c r="AE28" s="159">
        <f>SUMIF(WMS용마재고!$A:$A,"S130-08.50", WMS용마재고!$L:$L)</f>
        <v>155</v>
      </c>
      <c r="AF28" s="159">
        <f>SUMIF(WMS용마재고!$A:$A,"S130-09.00", WMS용마재고!$L:$L)+SUMIF(WMS용마재고!$A:$A,"a130-09.00", WMS용마재고!$L:$L)</f>
        <v>303</v>
      </c>
      <c r="AG28" s="159">
        <f>SUMIF(WMS용마재고!$A:$A,"S130-09.50", WMS용마재고!$L:$L)+SUMIF(WMS용마재고!$A:$A,"a130-09.50", WMS용마재고!$L:$L)</f>
        <v>657</v>
      </c>
      <c r="AH28" s="438">
        <f>SUMIF(WMS용마재고!$A:$A,"S130-10.00", WMS용마재고!$L:$L)+SUMIF(WMS용마재고!$A:$A,"a130-10.00", WMS용마재고!$L:$L)</f>
        <v>189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1298</v>
      </c>
      <c r="AP28" s="191">
        <f>SUMIF(WMS용마재고!$A:$A,"S130-00.50", WMS용마재고!$L:$L)+SUMIF(WMS용마재고!$A:$A,"a130-00.50", WMS용마재고!$L:$L)</f>
        <v>393</v>
      </c>
      <c r="AQ28" s="191">
        <f>SUMIF(WMS용마재고!$A:$A,"S130-00.75", WMS용마재고!$L:$L)+SUMIF(WMS용마재고!$A:$A,"a130-00.75", WMS용마재고!$L:$L)</f>
        <v>230</v>
      </c>
      <c r="AR28" s="191">
        <f>SUMIF(WMS용마재고!$A:$A,"S130-01.00", WMS용마재고!$L:$L)+SUMIF(WMS용마재고!$A:$A,"a130-01.00", WMS용마재고!$L:$L)</f>
        <v>767</v>
      </c>
      <c r="AS28" s="191">
        <f>SUMIF(WMS용마재고!$A:$A,"S130-01.25", WMS용마재고!$L:$L)+SUMIF(WMS용마재고!$A:$A,"a130-01.25", WMS용마재고!$L:$L)</f>
        <v>533</v>
      </c>
      <c r="AT28" s="191">
        <f>SUMIF(WMS용마재고!$A:$A,"S130-01.50", WMS용마재고!$L:$L)+SUMIF(WMS용마재고!$A:$A,"a130-01.50", WMS용마재고!$L:$L)</f>
        <v>462</v>
      </c>
      <c r="AU28" s="191">
        <f>SUMIF(WMS용마재고!$A:$A,"S130-01.75", WMS용마재고!$L:$L)+SUMIF(WMS용마재고!$A:$A,"a130-01.75", WMS용마재고!$L:$L)</f>
        <v>518</v>
      </c>
      <c r="AV28" s="191">
        <f>SUMIF(WMS용마재고!$A:$A,"S130-02.00", WMS용마재고!$L:$L)+SUMIF(WMS용마재고!$A:$A,"a130-02.00", WMS용마재고!$L:$L)</f>
        <v>466</v>
      </c>
      <c r="AW28" s="191">
        <f>SUMIF(WMS용마재고!$A:$A,"S130-02.25", WMS용마재고!$L:$L)+SUMIF(WMS용마재고!$A:$A,"a130-02.25", WMS용마재고!$L:$L)</f>
        <v>484</v>
      </c>
      <c r="AX28" s="191">
        <f>SUMIF(WMS용마재고!$A:$A,"S130-02.50", WMS용마재고!$L:$L)+SUMIF(WMS용마재고!$A:$A,"a130-02.50", WMS용마재고!$L:$L)</f>
        <v>589</v>
      </c>
      <c r="AY28" s="191">
        <f>SUMIF(WMS용마재고!$A:$A,"S130-02.75", WMS용마재고!$L:$L)+SUMIF(WMS용마재고!$A:$A,"a130-02.75", WMS용마재고!$L:$L)</f>
        <v>489</v>
      </c>
      <c r="AZ28" s="191">
        <f>SUMIF(WMS용마재고!$A:$A,"S130-03.00", WMS용마재고!$L:$L)+SUMIF(WMS용마재고!$A:$A,"a130-03.00", WMS용마재고!$L:$L)</f>
        <v>469</v>
      </c>
      <c r="BA28" s="191">
        <f>SUMIF(WMS용마재고!$A:$A,"S130-03.25", WMS용마재고!$L:$L)+SUMIF(WMS용마재고!$A:$A,"a130-03.25", WMS용마재고!$L:$L)</f>
        <v>376</v>
      </c>
      <c r="BB28" s="191">
        <f>SUMIF(WMS용마재고!$A:$A,"S130-03.50", WMS용마재고!$L:$L)+SUMIF(WMS용마재고!$A:$A,"a130-03.50", WMS용마재고!$L:$L)</f>
        <v>742</v>
      </c>
      <c r="BC28" s="191">
        <f>SUMIF(WMS용마재고!$A:$A,"S130-03.75", WMS용마재고!$L:$L)+SUMIF(WMS용마재고!$A:$A,"a130-03.75", WMS용마재고!$L:$L)</f>
        <v>513</v>
      </c>
      <c r="BD28" s="191">
        <f>SUMIF(WMS용마재고!$A:$A,"S130-04.00", WMS용마재고!$L:$L)+SUMIF(WMS용마재고!$A:$A,"a130-04.00", WMS용마재고!$L:$L)</f>
        <v>372</v>
      </c>
      <c r="BE28" s="191">
        <f>SUMIF(WMS용마재고!$A:$A,"S130-04.25", WMS용마재고!$L:$L)+SUMIF(WMS용마재고!$A:$A,"a130-04.25", WMS용마재고!$L:$L)</f>
        <v>754</v>
      </c>
      <c r="BF28" s="191">
        <f>SUMIF(WMS용마재고!$A:$A,"S130-04.50", WMS용마재고!$L:$L)+SUMIF(WMS용마재고!$A:$A,"a130-04.50", WMS용마재고!$L:$L)</f>
        <v>704</v>
      </c>
      <c r="BG28" s="191">
        <f>SUMIF(WMS용마재고!$A:$A,"S130-04.75", WMS용마재고!$L:$L)+SUMIF(WMS용마재고!$A:$A,"a130-04.75", WMS용마재고!$L:$L)</f>
        <v>627</v>
      </c>
      <c r="BH28" s="191">
        <f>SUMIF(WMS용마재고!$A:$A,"S130-05.00", WMS용마재고!$L:$L)+SUMIF(WMS용마재고!$A:$A,"a130-05.00", WMS용마재고!$L:$L)</f>
        <v>563</v>
      </c>
      <c r="BI28" s="191">
        <f>SUMIF(WMS용마재고!$A:$A,"S130-05.25", WMS용마재고!$L:$L)+SUMIF(WMS용마재고!$A:$A,"a130-05.25", WMS용마재고!$L:$L)</f>
        <v>492</v>
      </c>
      <c r="BJ28" s="191">
        <f>SUMIF(WMS용마재고!$A:$A,"S130-05.50", WMS용마재고!$L:$L)+SUMIF(WMS용마재고!$A:$A,"a130-05.50", WMS용마재고!$L:$L)</f>
        <v>528</v>
      </c>
      <c r="BK28" s="191">
        <f>SUMIF(WMS용마재고!$A:$A,"S130-05.75", WMS용마재고!$L:$L)+SUMIF(WMS용마재고!$A:$A,"a130-05.75", WMS용마재고!$L:$L)</f>
        <v>379</v>
      </c>
      <c r="BL28" s="191">
        <f>SUMIF(WMS용마재고!$A:$A,"S130-06.00", WMS용마재고!$L:$L)+SUMIF(WMS용마재고!$A:$A,"a130-06.00", WMS용마재고!$L:$L)</f>
        <v>608</v>
      </c>
      <c r="BM28" s="191">
        <f>SUMIF(WMS용마재고!$A:$A,"S130-06.50", WMS용마재고!$L:$L)+SUMIF(WMS용마재고!$A:$A,"a130-06.50", WMS용마재고!$L:$L)</f>
        <v>598</v>
      </c>
      <c r="BN28" s="191">
        <f>SUMIF(WMS용마재고!$A:$A,"S130-07.00", WMS용마재고!$L:$L)+SUMIF(WMS용마재고!$A:$A,"a130-07.00", WMS용마재고!$L:$L)</f>
        <v>901</v>
      </c>
      <c r="BO28" s="191">
        <f>SUMIF(WMS용마재고!$A:$A,"S130-07.50", WMS용마재고!$L:$L)+SUMIF(WMS용마재고!$A:$A,"a130-07.50", WMS용마재고!$L:$L)</f>
        <v>458</v>
      </c>
      <c r="BP28" s="191">
        <f>SUMIF(WMS용마재고!$A:$A,"S130-08.00", WMS용마재고!$L:$L)+SUMIF(WMS용마재고!$A:$A,"a130-08.00", WMS용마재고!$L:$L)</f>
        <v>586</v>
      </c>
      <c r="BQ28" s="191">
        <f>SUMIF(WMS용마재고!$A:$A,"S130-08.50", WMS용마재고!$L:$L)+SUMIF(WMS용마재고!$A:$A,"a130-08.50", WMS용마재고!$L:$L)</f>
        <v>155</v>
      </c>
      <c r="BR28" s="191">
        <f>SUMIF(WMS용마재고!$A:$A,"S130-09.00", WMS용마재고!$L:$L)+SUMIF(WMS용마재고!$A:$A,"a130-09.00", WMS용마재고!$L:$L)</f>
        <v>303</v>
      </c>
      <c r="BS28" s="191">
        <f>SUMIF(WMS용마재고!$A:$A,"S130-09.50", WMS용마재고!$L:$L)+SUMIF(WMS용마재고!$A:$A,"a130-09.50", WMS용마재고!$L:$L)</f>
        <v>657</v>
      </c>
      <c r="BT28" s="191">
        <f>SUMIF(WMS용마재고!$A:$A,"S130-10.00", WMS용마재고!$L:$L)+SUMIF(WMS용마재고!$A:$A,"a130-10.00", WMS용마재고!$L:$L)</f>
        <v>189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1323</v>
      </c>
      <c r="BZ28" s="192">
        <v>393</v>
      </c>
      <c r="CA28" s="192">
        <v>230</v>
      </c>
      <c r="CB28" s="192">
        <v>777</v>
      </c>
      <c r="CC28" s="192">
        <v>543</v>
      </c>
      <c r="CD28" s="192">
        <v>472</v>
      </c>
      <c r="CE28" s="192">
        <v>528</v>
      </c>
      <c r="CF28" s="192">
        <v>476</v>
      </c>
      <c r="CG28" s="192">
        <v>494</v>
      </c>
      <c r="CH28" s="192">
        <v>599</v>
      </c>
      <c r="CI28" s="192">
        <v>499</v>
      </c>
      <c r="CJ28" s="192">
        <v>479</v>
      </c>
      <c r="CK28" s="192">
        <v>386</v>
      </c>
      <c r="CL28" s="192">
        <v>752</v>
      </c>
      <c r="CM28" s="192">
        <v>523</v>
      </c>
      <c r="CN28" s="192">
        <v>382</v>
      </c>
      <c r="CO28" s="192">
        <v>764</v>
      </c>
      <c r="CP28" s="192">
        <v>714</v>
      </c>
      <c r="CQ28" s="193">
        <v>637</v>
      </c>
      <c r="CR28" s="193">
        <v>573</v>
      </c>
      <c r="CS28" s="193">
        <v>492</v>
      </c>
      <c r="CT28" s="193">
        <v>528</v>
      </c>
      <c r="CU28" s="193">
        <v>379</v>
      </c>
      <c r="CV28" s="193">
        <v>608</v>
      </c>
      <c r="CW28" s="193">
        <v>598</v>
      </c>
      <c r="CX28" s="193">
        <v>901</v>
      </c>
      <c r="CY28" s="193">
        <v>458</v>
      </c>
      <c r="CZ28" s="193">
        <v>586</v>
      </c>
      <c r="DA28" s="193">
        <v>155</v>
      </c>
      <c r="DB28" s="193">
        <v>303</v>
      </c>
      <c r="DC28" s="193">
        <v>657</v>
      </c>
      <c r="DD28" s="193">
        <v>189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328</v>
      </c>
      <c r="D29" s="159">
        <f>SUMIF(WMS용마재고!$A:$A,"S145-00.50", WMS용마재고!$L:$L)</f>
        <v>96</v>
      </c>
      <c r="E29" s="159">
        <f>SUMIF(WMS용마재고!$A:$A,"S145-00.75", WMS용마재고!$L:$L)</f>
        <v>327</v>
      </c>
      <c r="F29" s="159">
        <f>SUMIF(WMS용마재고!$A:$A,"S145-01.00", WMS용마재고!$L:$L)</f>
        <v>167</v>
      </c>
      <c r="G29" s="159">
        <f>SUMIF(WMS용마재고!$A:$A,"S145-01.25", WMS용마재고!$L:$L)</f>
        <v>564</v>
      </c>
      <c r="H29" s="159">
        <f>SUMIF(WMS용마재고!$A:$A,"S145-01.50", WMS용마재고!$L:$L)</f>
        <v>473</v>
      </c>
      <c r="I29" s="159">
        <f>SUMIF(WMS용마재고!$A:$A,"S145-01.75", WMS용마재고!$L:$L)</f>
        <v>256</v>
      </c>
      <c r="J29" s="159">
        <f>SUMIF(WMS용마재고!$A:$A,"S145-02.00", WMS용마재고!$L:$L)</f>
        <v>415</v>
      </c>
      <c r="K29" s="159">
        <f>SUMIF(WMS용마재고!$A:$A,"S145-02.25", WMS용마재고!$L:$L)</f>
        <v>240</v>
      </c>
      <c r="L29" s="159">
        <f>SUMIF(WMS용마재고!$A:$A,"S145-02.50", WMS용마재고!$L:$L)</f>
        <v>340</v>
      </c>
      <c r="M29" s="159">
        <f>SUMIF(WMS용마재고!$A:$A,"S145-02.75", WMS용마재고!$L:$L)</f>
        <v>311</v>
      </c>
      <c r="N29" s="159">
        <f>SUMIF(WMS용마재고!$A:$A,"S145-03.00", WMS용마재고!$L:$L)</f>
        <v>315</v>
      </c>
      <c r="O29" s="159">
        <f>SUMIF(WMS용마재고!$A:$A,"S145-03.25", WMS용마재고!$L:$L)</f>
        <v>332</v>
      </c>
      <c r="P29" s="159">
        <f>SUMIF(WMS용마재고!$A:$A,"S145-03.50", WMS용마재고!$L:$L)</f>
        <v>253</v>
      </c>
      <c r="Q29" s="159">
        <f>SUMIF(WMS용마재고!$A:$A,"S145-03.75", WMS용마재고!$L:$L)</f>
        <v>371</v>
      </c>
      <c r="R29" s="159">
        <f>SUMIF(WMS용마재고!$A:$A,"S145-04.00", WMS용마재고!$L:$L)</f>
        <v>533</v>
      </c>
      <c r="S29" s="159">
        <f>SUMIF(WMS용마재고!$A:$A,"S145-04.25", WMS용마재고!$L:$L)</f>
        <v>348</v>
      </c>
      <c r="T29" s="159">
        <f>SUMIF(WMS용마재고!$A:$A,"S145-04.50", WMS용마재고!$L:$L)</f>
        <v>138</v>
      </c>
      <c r="U29" s="159">
        <f>SUMIF(WMS용마재고!$A:$A,"S145-04.75", WMS용마재고!$L:$L)</f>
        <v>195</v>
      </c>
      <c r="V29" s="159">
        <f>SUMIF(WMS용마재고!$A:$A,"S145-05.00", WMS용마재고!$L:$L)</f>
        <v>330</v>
      </c>
      <c r="W29" s="159">
        <f>SUMIF(WMS용마재고!$A:$A,"S145-05.25", WMS용마재고!$L:$L)</f>
        <v>374</v>
      </c>
      <c r="X29" s="159">
        <f>SUMIF(WMS용마재고!$A:$A,"S145-05.50", WMS용마재고!$L:$L)</f>
        <v>191</v>
      </c>
      <c r="Y29" s="159">
        <f>SUMIF(WMS용마재고!$A:$A,"S145-05.75", WMS용마재고!$L:$L)</f>
        <v>387</v>
      </c>
      <c r="Z29" s="159">
        <f>SUMIF(WMS용마재고!$A:$A,"S145-06.00", WMS용마재고!$L:$L)</f>
        <v>215</v>
      </c>
      <c r="AA29" s="159">
        <f>SUMIF(WMS용마재고!$A:$A,"S145-06.50", WMS용마재고!$L:$L)</f>
        <v>108</v>
      </c>
      <c r="AB29" s="159">
        <f>SUMIF(WMS용마재고!$A:$A,"S145-07.00", WMS용마재고!$L:$L)</f>
        <v>262</v>
      </c>
      <c r="AC29" s="159">
        <f>SUMIF(WMS용마재고!$A:$A,"S145-07.50", WMS용마재고!$L:$L)</f>
        <v>297</v>
      </c>
      <c r="AD29" s="159">
        <f>SUMIF(WMS용마재고!$A:$A,"S145-08.00", WMS용마재고!$L:$L)</f>
        <v>506</v>
      </c>
      <c r="AE29" s="159">
        <f>SUMIF(WMS용마재고!$A:$A,"S145-08.50", WMS용마재고!$L:$L)</f>
        <v>275</v>
      </c>
      <c r="AF29" s="159">
        <f>SUMIF(WMS용마재고!$A:$A,"S145-09.00", WMS용마재고!$L:$L)</f>
        <v>170</v>
      </c>
      <c r="AG29" s="159">
        <f>SUMIF(WMS용마재고!$A:$A,"S145-09.50", WMS용마재고!$L:$L)</f>
        <v>409</v>
      </c>
      <c r="AH29" s="438">
        <f>SUMIF(WMS용마재고!$A:$A,"S145-10.00", WMS용마재고!$L:$L)</f>
        <v>160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328</v>
      </c>
      <c r="AP29" s="191">
        <f>SUMIF(WMS용마재고!$A:$A,"S145-00.50", WMS용마재고!$L:$L)</f>
        <v>96</v>
      </c>
      <c r="AQ29" s="191">
        <f>SUMIF(WMS용마재고!$A:$A,"S145-00.75", WMS용마재고!$L:$L)</f>
        <v>327</v>
      </c>
      <c r="AR29" s="191">
        <f>SUMIF(WMS용마재고!$A:$A,"S145-01.00", WMS용마재고!$L:$L)</f>
        <v>167</v>
      </c>
      <c r="AS29" s="191">
        <f>SUMIF(WMS용마재고!$A:$A,"S145-01.25", WMS용마재고!$L:$L)</f>
        <v>564</v>
      </c>
      <c r="AT29" s="191">
        <f>SUMIF(WMS용마재고!$A:$A,"S145-01.50", WMS용마재고!$L:$L)</f>
        <v>473</v>
      </c>
      <c r="AU29" s="191">
        <f>SUMIF(WMS용마재고!$A:$A,"S145-01.75", WMS용마재고!$L:$L)</f>
        <v>256</v>
      </c>
      <c r="AV29" s="191">
        <f>SUMIF(WMS용마재고!$A:$A,"S145-02.00", WMS용마재고!$L:$L)</f>
        <v>415</v>
      </c>
      <c r="AW29" s="191">
        <f>SUMIF(WMS용마재고!$A:$A,"S145-02.25", WMS용마재고!$L:$L)</f>
        <v>240</v>
      </c>
      <c r="AX29" s="191">
        <f>SUMIF(WMS용마재고!$A:$A,"S145-02.50", WMS용마재고!$L:$L)</f>
        <v>340</v>
      </c>
      <c r="AY29" s="191">
        <f>SUMIF(WMS용마재고!$A:$A,"S145-02.75", WMS용마재고!$L:$L)</f>
        <v>311</v>
      </c>
      <c r="AZ29" s="191">
        <f>SUMIF(WMS용마재고!$A:$A,"S145-03.00", WMS용마재고!$L:$L)</f>
        <v>315</v>
      </c>
      <c r="BA29" s="191">
        <f>SUMIF(WMS용마재고!$A:$A,"S145-03.25", WMS용마재고!$L:$L)</f>
        <v>332</v>
      </c>
      <c r="BB29" s="191">
        <f>SUMIF(WMS용마재고!$A:$A,"S145-03.50", WMS용마재고!$L:$L)</f>
        <v>253</v>
      </c>
      <c r="BC29" s="191">
        <f>SUMIF(WMS용마재고!$A:$A,"S145-03.75", WMS용마재고!$L:$L)</f>
        <v>371</v>
      </c>
      <c r="BD29" s="191">
        <f>SUMIF(WMS용마재고!$A:$A,"S145-04.00", WMS용마재고!$L:$L)</f>
        <v>533</v>
      </c>
      <c r="BE29" s="191">
        <f>SUMIF(WMS용마재고!$A:$A,"S145-04.25", WMS용마재고!$L:$L)</f>
        <v>348</v>
      </c>
      <c r="BF29" s="191">
        <f>SUMIF(WMS용마재고!$A:$A,"S145-04.50", WMS용마재고!$L:$L)</f>
        <v>138</v>
      </c>
      <c r="BG29" s="191">
        <f>SUMIF(WMS용마재고!$A:$A,"S145-04.75", WMS용마재고!$L:$L)</f>
        <v>195</v>
      </c>
      <c r="BH29" s="191">
        <f>SUMIF(WMS용마재고!$A:$A,"S145-05.00", WMS용마재고!$L:$L)</f>
        <v>330</v>
      </c>
      <c r="BI29" s="191">
        <f>SUMIF(WMS용마재고!$A:$A,"S145-05.25", WMS용마재고!$L:$L)</f>
        <v>374</v>
      </c>
      <c r="BJ29" s="191">
        <f>SUMIF(WMS용마재고!$A:$A,"S145-05.50", WMS용마재고!$L:$L)</f>
        <v>191</v>
      </c>
      <c r="BK29" s="191">
        <f>SUMIF(WMS용마재고!$A:$A,"S145-05.75", WMS용마재고!$L:$L)</f>
        <v>387</v>
      </c>
      <c r="BL29" s="191">
        <f>SUMIF(WMS용마재고!$A:$A,"S145-06.00", WMS용마재고!$L:$L)</f>
        <v>215</v>
      </c>
      <c r="BM29" s="191">
        <f>SUMIF(WMS용마재고!$A:$A,"S145-06.50", WMS용마재고!$L:$L)</f>
        <v>108</v>
      </c>
      <c r="BN29" s="191">
        <f>SUMIF(WMS용마재고!$A:$A,"S145-07.00", WMS용마재고!$L:$L)</f>
        <v>262</v>
      </c>
      <c r="BO29" s="191">
        <f>SUMIF(WMS용마재고!$A:$A,"S145-07.50", WMS용마재고!$L:$L)</f>
        <v>297</v>
      </c>
      <c r="BP29" s="191">
        <f>SUMIF(WMS용마재고!$A:$A,"S145-08.00", WMS용마재고!$L:$L)</f>
        <v>506</v>
      </c>
      <c r="BQ29" s="191">
        <f>SUMIF(WMS용마재고!$A:$A,"S145-08.50", WMS용마재고!$L:$L)</f>
        <v>275</v>
      </c>
      <c r="BR29" s="191">
        <f>SUMIF(WMS용마재고!$A:$A,"S145-09.00", WMS용마재고!$L:$L)</f>
        <v>170</v>
      </c>
      <c r="BS29" s="191">
        <f>SUMIF(WMS용마재고!$A:$A,"S145-09.50", WMS용마재고!$L:$L)</f>
        <v>409</v>
      </c>
      <c r="BT29" s="191">
        <f>SUMIF(WMS용마재고!$A:$A,"S145-10.00", WMS용마재고!$L:$L)</f>
        <v>160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348</v>
      </c>
      <c r="BZ29" s="192">
        <v>96</v>
      </c>
      <c r="CA29" s="192">
        <v>327</v>
      </c>
      <c r="CB29" s="192">
        <v>177</v>
      </c>
      <c r="CC29" s="192">
        <v>564</v>
      </c>
      <c r="CD29" s="192">
        <v>478</v>
      </c>
      <c r="CE29" s="192">
        <v>261</v>
      </c>
      <c r="CF29" s="192">
        <v>420</v>
      </c>
      <c r="CG29" s="192">
        <v>240</v>
      </c>
      <c r="CH29" s="192">
        <v>345</v>
      </c>
      <c r="CI29" s="192">
        <v>311</v>
      </c>
      <c r="CJ29" s="192">
        <v>320</v>
      </c>
      <c r="CK29" s="192">
        <v>332</v>
      </c>
      <c r="CL29" s="192">
        <v>258</v>
      </c>
      <c r="CM29" s="192">
        <v>371</v>
      </c>
      <c r="CN29" s="192">
        <v>538</v>
      </c>
      <c r="CO29" s="192">
        <v>348</v>
      </c>
      <c r="CP29" s="192">
        <v>143</v>
      </c>
      <c r="CQ29" s="193">
        <v>195</v>
      </c>
      <c r="CR29" s="193">
        <v>335</v>
      </c>
      <c r="CS29" s="193">
        <v>374</v>
      </c>
      <c r="CT29" s="193">
        <v>191</v>
      </c>
      <c r="CU29" s="193">
        <v>387</v>
      </c>
      <c r="CV29" s="193">
        <v>215</v>
      </c>
      <c r="CW29" s="193">
        <v>108</v>
      </c>
      <c r="CX29" s="193">
        <v>262</v>
      </c>
      <c r="CY29" s="193">
        <v>297</v>
      </c>
      <c r="CZ29" s="193">
        <v>506</v>
      </c>
      <c r="DA29" s="193">
        <v>275</v>
      </c>
      <c r="DB29" s="193">
        <v>170</v>
      </c>
      <c r="DC29" s="193">
        <v>409</v>
      </c>
      <c r="DD29" s="193">
        <v>160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287</v>
      </c>
      <c r="D30" s="159">
        <f>SUMIF(WMS용마재고!$A:$A,"S172-00.50", WMS용마재고!$L:$L)</f>
        <v>537</v>
      </c>
      <c r="E30" s="159">
        <f>SUMIF(WMS용마재고!$A:$A,"S172-00.75", WMS용마재고!$L:$L)</f>
        <v>95</v>
      </c>
      <c r="F30" s="159">
        <f>SUMIF(WMS용마재고!$A:$A,"S172-01.00", WMS용마재고!$L:$L)</f>
        <v>342</v>
      </c>
      <c r="G30" s="159">
        <f>SUMIF(WMS용마재고!$A:$A,"S172-01.25", WMS용마재고!$L:$L)</f>
        <v>103</v>
      </c>
      <c r="H30" s="159">
        <f>SUMIF(WMS용마재고!$A:$A,"S172-01.50", WMS용마재고!$L:$L)</f>
        <v>312</v>
      </c>
      <c r="I30" s="159">
        <f>SUMIF(WMS용마재고!$A:$A,"S172-01.75", WMS용마재고!$L:$L)</f>
        <v>349</v>
      </c>
      <c r="J30" s="159">
        <f>SUMIF(WMS용마재고!$A:$A,"S172-02.00", WMS용마재고!$L:$L)</f>
        <v>431</v>
      </c>
      <c r="K30" s="159">
        <f>SUMIF(WMS용마재고!$A:$A,"S172-02.25", WMS용마재고!$L:$L)</f>
        <v>347</v>
      </c>
      <c r="L30" s="159">
        <f>SUMIF(WMS용마재고!$A:$A,"S172-02.50", WMS용마재고!$L:$L)</f>
        <v>123</v>
      </c>
      <c r="M30" s="159">
        <f>SUMIF(WMS용마재고!$A:$A,"S172-02.75", WMS용마재고!$L:$L)</f>
        <v>269</v>
      </c>
      <c r="N30" s="159">
        <f>SUMIF(WMS용마재고!$A:$A,"S172-03.00", WMS용마재고!$L:$L)</f>
        <v>376</v>
      </c>
      <c r="O30" s="159">
        <f>SUMIF(WMS용마재고!$A:$A,"S172-03.25", WMS용마재고!$L:$L)</f>
        <v>18</v>
      </c>
      <c r="P30" s="159">
        <f>SUMIF(WMS용마재고!$A:$A,"S172-03.50", WMS용마재고!$L:$L)</f>
        <v>470</v>
      </c>
      <c r="Q30" s="159">
        <f>SUMIF(WMS용마재고!$A:$A,"S172-03.75", WMS용마재고!$L:$L)</f>
        <v>361</v>
      </c>
      <c r="R30" s="159">
        <f>SUMIF(WMS용마재고!$A:$A,"S172-04.00", WMS용마재고!$L:$L)</f>
        <v>18</v>
      </c>
      <c r="S30" s="159">
        <f>SUMIF(WMS용마재고!$A:$A,"S172-04.25", WMS용마재고!$L:$L)</f>
        <v>532</v>
      </c>
      <c r="T30" s="159">
        <f>SUMIF(WMS용마재고!$A:$A,"S172-04.50", WMS용마재고!$L:$L)</f>
        <v>335</v>
      </c>
      <c r="U30" s="159">
        <f>SUMIF(WMS용마재고!$A:$A,"S172-04.75", WMS용마재고!$L:$L)</f>
        <v>1697</v>
      </c>
      <c r="V30" s="159">
        <f>SUMIF(WMS용마재고!$A:$A,"S172-05.00", WMS용마재고!$L:$L)</f>
        <v>106</v>
      </c>
      <c r="W30" s="159">
        <f>SUMIF(WMS용마재고!$A:$A,"S172-05.25", WMS용마재고!$L:$L)</f>
        <v>1076</v>
      </c>
      <c r="X30" s="159">
        <f>SUMIF(WMS용마재고!$A:$A,"S172-05.50", WMS용마재고!$L:$L)</f>
        <v>43</v>
      </c>
      <c r="Y30" s="159">
        <f>SUMIF(WMS용마재고!$A:$A,"S172-05.75", WMS용마재고!$L:$L)</f>
        <v>21</v>
      </c>
      <c r="Z30" s="159">
        <f>SUMIF(WMS용마재고!$A:$A,"S172-06.00", WMS용마재고!$L:$L)</f>
        <v>191</v>
      </c>
      <c r="AA30" s="159">
        <f>SUMIF(WMS용마재고!$A:$A,"S172-06.50", WMS용마재고!$L:$L)</f>
        <v>357</v>
      </c>
      <c r="AB30" s="159">
        <f>SUMIF(WMS용마재고!$A:$A,"S172-07.00", WMS용마재고!$L:$L)</f>
        <v>571</v>
      </c>
      <c r="AC30" s="159">
        <f>SUMIF(WMS용마재고!$A:$A,"S172-07.50", WMS용마재고!$L:$L)</f>
        <v>271</v>
      </c>
      <c r="AD30" s="159">
        <f>SUMIF(WMS용마재고!$A:$A,"S172-08.00", WMS용마재고!$L:$L)</f>
        <v>124</v>
      </c>
      <c r="AE30" s="159">
        <f>SUMIF(WMS용마재고!$A:$A,"S172-08.50", WMS용마재고!$L:$L)</f>
        <v>572</v>
      </c>
      <c r="AF30" s="159">
        <f>SUMIF(WMS용마재고!$A:$A,"S172-09.00", WMS용마재고!$L:$L)</f>
        <v>282</v>
      </c>
      <c r="AG30" s="159">
        <f>SUMIF(WMS용마재고!$A:$A,"S172-09.50", WMS용마재고!$L:$L)</f>
        <v>169</v>
      </c>
      <c r="AH30" s="438">
        <f>SUMIF(WMS용마재고!$A:$A,"S172-10.00", WMS용마재고!$L:$L)</f>
        <v>309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287</v>
      </c>
      <c r="AP30" s="191">
        <f>SUMIF(WMS용마재고!$A:$A,"S172-00.50", WMS용마재고!$L:$L)</f>
        <v>537</v>
      </c>
      <c r="AQ30" s="191">
        <f>SUMIF(WMS용마재고!$A:$A,"S172-00.75", WMS용마재고!$L:$L)</f>
        <v>95</v>
      </c>
      <c r="AR30" s="191">
        <f>SUMIF(WMS용마재고!$A:$A,"S172-01.00", WMS용마재고!$L:$L)</f>
        <v>342</v>
      </c>
      <c r="AS30" s="191">
        <f>SUMIF(WMS용마재고!$A:$A,"S172-01.25", WMS용마재고!$L:$L)</f>
        <v>103</v>
      </c>
      <c r="AT30" s="191">
        <f>SUMIF(WMS용마재고!$A:$A,"S172-01.50", WMS용마재고!$L:$L)</f>
        <v>312</v>
      </c>
      <c r="AU30" s="191">
        <f>SUMIF(WMS용마재고!$A:$A,"S172-01.75", WMS용마재고!$L:$L)</f>
        <v>349</v>
      </c>
      <c r="AV30" s="191">
        <f>SUMIF(WMS용마재고!$A:$A,"S172-02.00", WMS용마재고!$L:$L)</f>
        <v>431</v>
      </c>
      <c r="AW30" s="191">
        <f>SUMIF(WMS용마재고!$A:$A,"S172-02.25", WMS용마재고!$L:$L)</f>
        <v>347</v>
      </c>
      <c r="AX30" s="191">
        <f>SUMIF(WMS용마재고!$A:$A,"S172-02.50", WMS용마재고!$L:$L)</f>
        <v>123</v>
      </c>
      <c r="AY30" s="191">
        <f>SUMIF(WMS용마재고!$A:$A,"S172-02.75", WMS용마재고!$L:$L)</f>
        <v>269</v>
      </c>
      <c r="AZ30" s="191">
        <f>SUMIF(WMS용마재고!$A:$A,"S172-03.00", WMS용마재고!$L:$L)</f>
        <v>376</v>
      </c>
      <c r="BA30" s="191">
        <f>SUMIF(WMS용마재고!$A:$A,"S172-03.25", WMS용마재고!$L:$L)</f>
        <v>18</v>
      </c>
      <c r="BB30" s="191">
        <f>SUMIF(WMS용마재고!$A:$A,"S172-03.50", WMS용마재고!$L:$L)</f>
        <v>470</v>
      </c>
      <c r="BC30" s="191">
        <f>SUMIF(WMS용마재고!$A:$A,"S172-03.75", WMS용마재고!$L:$L)</f>
        <v>361</v>
      </c>
      <c r="BD30" s="191">
        <f>SUMIF(WMS용마재고!$A:$A,"S172-04.00", WMS용마재고!$L:$L)</f>
        <v>18</v>
      </c>
      <c r="BE30" s="191">
        <f>SUMIF(WMS용마재고!$A:$A,"S172-04.25", WMS용마재고!$L:$L)</f>
        <v>532</v>
      </c>
      <c r="BF30" s="191">
        <f>SUMIF(WMS용마재고!$A:$A,"S172-04.50", WMS용마재고!$L:$L)</f>
        <v>335</v>
      </c>
      <c r="BG30" s="191">
        <f>SUMIF(WMS용마재고!$A:$A,"S172-04.75", WMS용마재고!$L:$L)</f>
        <v>1697</v>
      </c>
      <c r="BH30" s="191">
        <f>SUMIF(WMS용마재고!$A:$A,"S172-05.00", WMS용마재고!$L:$L)</f>
        <v>106</v>
      </c>
      <c r="BI30" s="191">
        <f>SUMIF(WMS용마재고!$A:$A,"S172-05.25", WMS용마재고!$L:$L)</f>
        <v>1076</v>
      </c>
      <c r="BJ30" s="191">
        <f>SUMIF(WMS용마재고!$A:$A,"S172-05.50", WMS용마재고!$L:$L)</f>
        <v>43</v>
      </c>
      <c r="BK30" s="191">
        <f>SUMIF(WMS용마재고!$A:$A,"S172-05.75", WMS용마재고!$L:$L)</f>
        <v>21</v>
      </c>
      <c r="BL30" s="191">
        <f>SUMIF(WMS용마재고!$A:$A,"S172-06.00", WMS용마재고!$L:$L)</f>
        <v>191</v>
      </c>
      <c r="BM30" s="191">
        <f>SUMIF(WMS용마재고!$A:$A,"S172-06.50", WMS용마재고!$L:$L)</f>
        <v>357</v>
      </c>
      <c r="BN30" s="191">
        <f>SUMIF(WMS용마재고!$A:$A,"S172-07.00", WMS용마재고!$L:$L)</f>
        <v>571</v>
      </c>
      <c r="BO30" s="191">
        <f>SUMIF(WMS용마재고!$A:$A,"S172-07.50", WMS용마재고!$L:$L)</f>
        <v>271</v>
      </c>
      <c r="BP30" s="191">
        <f>SUMIF(WMS용마재고!$A:$A,"S172-08.00", WMS용마재고!$L:$L)</f>
        <v>124</v>
      </c>
      <c r="BQ30" s="191">
        <f>SUMIF(WMS용마재고!$A:$A,"S172-08.50", WMS용마재고!$L:$L)</f>
        <v>572</v>
      </c>
      <c r="BR30" s="191">
        <f>SUMIF(WMS용마재고!$A:$A,"S172-09.00", WMS용마재고!$L:$L)</f>
        <v>282</v>
      </c>
      <c r="BS30" s="191">
        <f>SUMIF(WMS용마재고!$A:$A,"S172-09.50", WMS용마재고!$L:$L)</f>
        <v>169</v>
      </c>
      <c r="BT30" s="191">
        <f>SUMIF(WMS용마재고!$A:$A,"S172-10.00", WMS용마재고!$L:$L)</f>
        <v>309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287</v>
      </c>
      <c r="BZ30" s="192">
        <v>537</v>
      </c>
      <c r="CA30" s="192">
        <v>95</v>
      </c>
      <c r="CB30" s="192">
        <v>342</v>
      </c>
      <c r="CC30" s="192">
        <v>103</v>
      </c>
      <c r="CD30" s="192">
        <v>312</v>
      </c>
      <c r="CE30" s="192">
        <v>349</v>
      </c>
      <c r="CF30" s="192">
        <v>431</v>
      </c>
      <c r="CG30" s="192">
        <v>347</v>
      </c>
      <c r="CH30" s="192">
        <v>123</v>
      </c>
      <c r="CI30" s="192">
        <v>269</v>
      </c>
      <c r="CJ30" s="192">
        <v>376</v>
      </c>
      <c r="CK30" s="192">
        <v>18</v>
      </c>
      <c r="CL30" s="192">
        <v>470</v>
      </c>
      <c r="CM30" s="192">
        <v>361</v>
      </c>
      <c r="CN30" s="192">
        <v>18</v>
      </c>
      <c r="CO30" s="192">
        <v>532</v>
      </c>
      <c r="CP30" s="192">
        <v>335</v>
      </c>
      <c r="CQ30" s="193">
        <v>1697</v>
      </c>
      <c r="CR30" s="193">
        <v>106</v>
      </c>
      <c r="CS30" s="193">
        <v>1076</v>
      </c>
      <c r="CT30" s="193">
        <v>43</v>
      </c>
      <c r="CU30" s="193">
        <v>21</v>
      </c>
      <c r="CV30" s="193">
        <v>191</v>
      </c>
      <c r="CW30" s="193">
        <v>357</v>
      </c>
      <c r="CX30" s="193">
        <v>571</v>
      </c>
      <c r="CY30" s="193">
        <v>271</v>
      </c>
      <c r="CZ30" s="193">
        <v>124</v>
      </c>
      <c r="DA30" s="193">
        <v>572</v>
      </c>
      <c r="DB30" s="193">
        <v>282</v>
      </c>
      <c r="DC30" s="193">
        <v>169</v>
      </c>
      <c r="DD30" s="193">
        <v>309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334</v>
      </c>
      <c r="D31" s="159">
        <f>SUMIF(WMS용마재고!$A:$A,"S149-00.50", WMS용마재고!$L:$L)</f>
        <v>111</v>
      </c>
      <c r="E31" s="159">
        <f>SUMIF(WMS용마재고!$A:$A,"S149-00.75", WMS용마재고!$L:$L)</f>
        <v>87</v>
      </c>
      <c r="F31" s="159">
        <f>SUMIF(WMS용마재고!$A:$A,"S149-01.00", WMS용마재고!$L:$L)</f>
        <v>243</v>
      </c>
      <c r="G31" s="159">
        <f>SUMIF(WMS용마재고!$A:$A,"S149-01.25", WMS용마재고!$L:$L)</f>
        <v>117</v>
      </c>
      <c r="H31" s="159">
        <f>SUMIF(WMS용마재고!$A:$A,"S149-01.50", WMS용마재고!$L:$L)</f>
        <v>499</v>
      </c>
      <c r="I31" s="159">
        <f>SUMIF(WMS용마재고!$A:$A,"S149-01.75", WMS용마재고!$L:$L)</f>
        <v>233</v>
      </c>
      <c r="J31" s="159">
        <f>SUMIF(WMS용마재고!$A:$A,"S149-02.00", WMS용마재고!$L:$L)</f>
        <v>127</v>
      </c>
      <c r="K31" s="159">
        <f>SUMIF(WMS용마재고!$A:$A,"S149-02.25", WMS용마재고!$L:$L)</f>
        <v>148</v>
      </c>
      <c r="L31" s="159">
        <f>SUMIF(WMS용마재고!$A:$A,"S149-02.50", WMS용마재고!$L:$L)</f>
        <v>217</v>
      </c>
      <c r="M31" s="159">
        <f>SUMIF(WMS용마재고!$A:$A,"S149-02.75", WMS용마재고!$L:$L)</f>
        <v>117</v>
      </c>
      <c r="N31" s="159">
        <f>SUMIF(WMS용마재고!$A:$A,"S149-03.00", WMS용마재고!$L:$L)</f>
        <v>130</v>
      </c>
      <c r="O31" s="159">
        <f>SUMIF(WMS용마재고!$A:$A,"S149-03.25", WMS용마재고!$L:$L)</f>
        <v>268</v>
      </c>
      <c r="P31" s="159">
        <f>SUMIF(WMS용마재고!$A:$A,"S149-03.50", WMS용마재고!$L:$L)</f>
        <v>238</v>
      </c>
      <c r="Q31" s="159">
        <f>SUMIF(WMS용마재고!$A:$A,"S149-03.75", WMS용마재고!$L:$L)</f>
        <v>206</v>
      </c>
      <c r="R31" s="159">
        <f>SUMIF(WMS용마재고!$A:$A,"S149-04.00", WMS용마재고!$L:$L)</f>
        <v>193</v>
      </c>
      <c r="S31" s="159">
        <f>SUMIF(WMS용마재고!$A:$A,"S149-04.25", WMS용마재고!$L:$L)</f>
        <v>128</v>
      </c>
      <c r="T31" s="159">
        <f>SUMIF(WMS용마재고!$A:$A,"S149-04.50", WMS용마재고!$L:$L)</f>
        <v>103</v>
      </c>
      <c r="U31" s="159">
        <f>SUMIF(WMS용마재고!$A:$A,"S149-04.75", WMS용마재고!$L:$L)</f>
        <v>112</v>
      </c>
      <c r="V31" s="159">
        <f>SUMIF(WMS용마재고!$A:$A,"S149-05.00", WMS용마재고!$L:$L)</f>
        <v>350</v>
      </c>
      <c r="W31" s="159">
        <f>SUMIF(WMS용마재고!$A:$A,"S149-05.25", WMS용마재고!$L:$L)</f>
        <v>126</v>
      </c>
      <c r="X31" s="159">
        <f>SUMIF(WMS용마재고!$A:$A,"S149-05.50", WMS용마재고!$L:$L)</f>
        <v>145</v>
      </c>
      <c r="Y31" s="159">
        <f>SUMIF(WMS용마재고!$A:$A,"S149-05.75", WMS용마재고!$L:$L)</f>
        <v>150</v>
      </c>
      <c r="Z31" s="159">
        <f>SUMIF(WMS용마재고!$A:$A,"S149-06.00", WMS용마재고!$L:$L)</f>
        <v>253</v>
      </c>
      <c r="AA31" s="159">
        <f>SUMIF(WMS용마재고!$A:$A,"S149-06.50", WMS용마재고!$L:$L)</f>
        <v>202</v>
      </c>
      <c r="AB31" s="159">
        <f>SUMIF(WMS용마재고!$A:$A,"S149-07.00", WMS용마재고!$L:$L)</f>
        <v>67</v>
      </c>
      <c r="AC31" s="159">
        <f>SUMIF(WMS용마재고!$A:$A,"S149-07.50", WMS용마재고!$L:$L)</f>
        <v>240</v>
      </c>
      <c r="AD31" s="159">
        <f>SUMIF(WMS용마재고!$A:$A,"S149-08.00", WMS용마재고!$L:$L)</f>
        <v>70</v>
      </c>
      <c r="AE31" s="159">
        <f>SUMIF(WMS용마재고!$A:$A,"S149-08.50", WMS용마재고!$L:$L)</f>
        <v>55</v>
      </c>
      <c r="AF31" s="159">
        <f>SUMIF(WMS용마재고!$A:$A,"S149-09.00", WMS용마재고!$L:$L)</f>
        <v>306</v>
      </c>
      <c r="AG31" s="159">
        <f>SUMIF(WMS용마재고!$A:$A,"S149-09.50", WMS용마재고!$L:$L)</f>
        <v>135</v>
      </c>
      <c r="AH31" s="438">
        <f>SUMIF(WMS용마재고!$A:$A,"S149-10.00", WMS용마재고!$L:$L)</f>
        <v>135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334</v>
      </c>
      <c r="AP31" s="191">
        <f>SUMIF(WMS용마재고!$A:$A,"S149-00.50", WMS용마재고!$L:$L)</f>
        <v>111</v>
      </c>
      <c r="AQ31" s="191">
        <f>SUMIF(WMS용마재고!$A:$A,"S149-00.75", WMS용마재고!$L:$L)</f>
        <v>87</v>
      </c>
      <c r="AR31" s="191">
        <f>SUMIF(WMS용마재고!$A:$A,"S149-01.00", WMS용마재고!$L:$L)</f>
        <v>243</v>
      </c>
      <c r="AS31" s="191">
        <f>SUMIF(WMS용마재고!$A:$A,"S149-01.25", WMS용마재고!$L:$L)</f>
        <v>117</v>
      </c>
      <c r="AT31" s="191">
        <f>SUMIF(WMS용마재고!$A:$A,"S149-01.50", WMS용마재고!$L:$L)</f>
        <v>499</v>
      </c>
      <c r="AU31" s="191">
        <f>SUMIF(WMS용마재고!$A:$A,"S149-01.75", WMS용마재고!$L:$L)</f>
        <v>233</v>
      </c>
      <c r="AV31" s="191">
        <f>SUMIF(WMS용마재고!$A:$A,"S149-02.00", WMS용마재고!$L:$L)</f>
        <v>127</v>
      </c>
      <c r="AW31" s="191">
        <f>SUMIF(WMS용마재고!$A:$A,"S149-02.25", WMS용마재고!$L:$L)</f>
        <v>148</v>
      </c>
      <c r="AX31" s="191">
        <f>SUMIF(WMS용마재고!$A:$A,"S149-02.50", WMS용마재고!$L:$L)</f>
        <v>217</v>
      </c>
      <c r="AY31" s="191">
        <f>SUMIF(WMS용마재고!$A:$A,"S149-02.75", WMS용마재고!$L:$L)</f>
        <v>117</v>
      </c>
      <c r="AZ31" s="191">
        <f>SUMIF(WMS용마재고!$A:$A,"S149-03.00", WMS용마재고!$L:$L)</f>
        <v>130</v>
      </c>
      <c r="BA31" s="191">
        <f>SUMIF(WMS용마재고!$A:$A,"S149-03.25", WMS용마재고!$L:$L)</f>
        <v>268</v>
      </c>
      <c r="BB31" s="191">
        <f>SUMIF(WMS용마재고!$A:$A,"S149-03.50", WMS용마재고!$L:$L)</f>
        <v>238</v>
      </c>
      <c r="BC31" s="191">
        <f>SUMIF(WMS용마재고!$A:$A,"S149-03.75", WMS용마재고!$L:$L)</f>
        <v>206</v>
      </c>
      <c r="BD31" s="191">
        <f>SUMIF(WMS용마재고!$A:$A,"S149-04.00", WMS용마재고!$L:$L)</f>
        <v>193</v>
      </c>
      <c r="BE31" s="191">
        <f>SUMIF(WMS용마재고!$A:$A,"S149-04.25", WMS용마재고!$L:$L)</f>
        <v>128</v>
      </c>
      <c r="BF31" s="191">
        <f>SUMIF(WMS용마재고!$A:$A,"S149-04.50", WMS용마재고!$L:$L)</f>
        <v>103</v>
      </c>
      <c r="BG31" s="191">
        <f>SUMIF(WMS용마재고!$A:$A,"S149-04.75", WMS용마재고!$L:$L)</f>
        <v>112</v>
      </c>
      <c r="BH31" s="191">
        <f>SUMIF(WMS용마재고!$A:$A,"S149-05.00", WMS용마재고!$L:$L)</f>
        <v>350</v>
      </c>
      <c r="BI31" s="191">
        <f>SUMIF(WMS용마재고!$A:$A,"S149-05.25", WMS용마재고!$L:$L)</f>
        <v>126</v>
      </c>
      <c r="BJ31" s="191">
        <f>SUMIF(WMS용마재고!$A:$A,"S149-05.50", WMS용마재고!$L:$L)</f>
        <v>145</v>
      </c>
      <c r="BK31" s="191">
        <f>SUMIF(WMS용마재고!$A:$A,"S149-05.75", WMS용마재고!$L:$L)</f>
        <v>150</v>
      </c>
      <c r="BL31" s="191">
        <f>SUMIF(WMS용마재고!$A:$A,"S149-06.00", WMS용마재고!$L:$L)</f>
        <v>253</v>
      </c>
      <c r="BM31" s="191">
        <f>SUMIF(WMS용마재고!$A:$A,"S149-06.50", WMS용마재고!$L:$L)</f>
        <v>202</v>
      </c>
      <c r="BN31" s="191">
        <f>SUMIF(WMS용마재고!$A:$A,"S149-07.00", WMS용마재고!$L:$L)</f>
        <v>67</v>
      </c>
      <c r="BO31" s="191">
        <f>SUMIF(WMS용마재고!$A:$A,"S149-07.50", WMS용마재고!$L:$L)</f>
        <v>240</v>
      </c>
      <c r="BP31" s="191">
        <f>SUMIF(WMS용마재고!$A:$A,"S149-08.00", WMS용마재고!$L:$L)</f>
        <v>70</v>
      </c>
      <c r="BQ31" s="191">
        <f>SUMIF(WMS용마재고!$A:$A,"S149-08.50", WMS용마재고!$L:$L)</f>
        <v>55</v>
      </c>
      <c r="BR31" s="191">
        <f>SUMIF(WMS용마재고!$A:$A,"S149-09.00", WMS용마재고!$L:$L)</f>
        <v>306</v>
      </c>
      <c r="BS31" s="191">
        <f>SUMIF(WMS용마재고!$A:$A,"S149-09.50", WMS용마재고!$L:$L)</f>
        <v>135</v>
      </c>
      <c r="BT31" s="191">
        <f>SUMIF(WMS용마재고!$A:$A,"S149-10.00", WMS용마재고!$L:$L)</f>
        <v>135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334</v>
      </c>
      <c r="BZ31" s="192">
        <v>111</v>
      </c>
      <c r="CA31" s="192">
        <v>87</v>
      </c>
      <c r="CB31" s="192">
        <v>243</v>
      </c>
      <c r="CC31" s="192">
        <v>117</v>
      </c>
      <c r="CD31" s="192">
        <v>499</v>
      </c>
      <c r="CE31" s="192">
        <v>233</v>
      </c>
      <c r="CF31" s="192">
        <v>127</v>
      </c>
      <c r="CG31" s="192">
        <v>148</v>
      </c>
      <c r="CH31" s="192">
        <v>217</v>
      </c>
      <c r="CI31" s="192">
        <v>117</v>
      </c>
      <c r="CJ31" s="192">
        <v>130</v>
      </c>
      <c r="CK31" s="192">
        <v>268</v>
      </c>
      <c r="CL31" s="192">
        <v>238</v>
      </c>
      <c r="CM31" s="192">
        <v>206</v>
      </c>
      <c r="CN31" s="192">
        <v>193</v>
      </c>
      <c r="CO31" s="192">
        <v>128</v>
      </c>
      <c r="CP31" s="192">
        <v>103</v>
      </c>
      <c r="CQ31" s="193">
        <v>112</v>
      </c>
      <c r="CR31" s="193">
        <v>350</v>
      </c>
      <c r="CS31" s="193">
        <v>126</v>
      </c>
      <c r="CT31" s="193">
        <v>145</v>
      </c>
      <c r="CU31" s="193">
        <v>150</v>
      </c>
      <c r="CV31" s="193">
        <v>253</v>
      </c>
      <c r="CW31" s="193">
        <v>202</v>
      </c>
      <c r="CX31" s="193">
        <v>67</v>
      </c>
      <c r="CY31" s="193">
        <v>240</v>
      </c>
      <c r="CZ31" s="193">
        <v>70</v>
      </c>
      <c r="DA31" s="193">
        <v>55</v>
      </c>
      <c r="DB31" s="193">
        <v>306</v>
      </c>
      <c r="DC31" s="193">
        <v>135</v>
      </c>
      <c r="DD31" s="193">
        <v>135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411</v>
      </c>
      <c r="D32" s="159">
        <f>SUMIF(WMS용마재고!$A:$A,"S162-00.50", WMS용마재고!$L:$L)</f>
        <v>410</v>
      </c>
      <c r="E32" s="159">
        <f>SUMIF(WMS용마재고!$A:$A,"S162-00.75", WMS용마재고!$L:$L)</f>
        <v>13</v>
      </c>
      <c r="F32" s="159">
        <f>SUMIF(WMS용마재고!$A:$A,"S162-01.00", WMS용마재고!$L:$L)</f>
        <v>165</v>
      </c>
      <c r="G32" s="159">
        <f>SUMIF(WMS용마재고!$A:$A,"S162-01.25", WMS용마재고!$L:$L)</f>
        <v>193</v>
      </c>
      <c r="H32" s="159">
        <f>SUMIF(WMS용마재고!$A:$A,"S162-01.50", WMS용마재고!$L:$L)</f>
        <v>177</v>
      </c>
      <c r="I32" s="159">
        <f>SUMIF(WMS용마재고!$A:$A,"S162-01.75", WMS용마재고!$L:$L)</f>
        <v>128</v>
      </c>
      <c r="J32" s="159">
        <f>SUMIF(WMS용마재고!$A:$A,"S162-02.00", WMS용마재고!$L:$L)</f>
        <v>187</v>
      </c>
      <c r="K32" s="159">
        <f>SUMIF(WMS용마재고!$A:$A,"S162-02.25", WMS용마재고!$L:$L)</f>
        <v>209</v>
      </c>
      <c r="L32" s="159">
        <f>SUMIF(WMS용마재고!$A:$A,"S162-02.50", WMS용마재고!$L:$L)</f>
        <v>164</v>
      </c>
      <c r="M32" s="159">
        <f>SUMIF(WMS용마재고!$A:$A,"S162-02.75", WMS용마재고!$L:$L)</f>
        <v>232</v>
      </c>
      <c r="N32" s="159">
        <f>SUMIF(WMS용마재고!$A:$A,"S162-03.00", WMS용마재고!$L:$L)</f>
        <v>118</v>
      </c>
      <c r="O32" s="159">
        <f>SUMIF(WMS용마재고!$A:$A,"S162-03.25", WMS용마재고!$L:$L)</f>
        <v>325</v>
      </c>
      <c r="P32" s="159">
        <f>SUMIF(WMS용마재고!$A:$A,"S162-03.50", WMS용마재고!$L:$L)</f>
        <v>157</v>
      </c>
      <c r="Q32" s="159">
        <f>SUMIF(WMS용마재고!$A:$A,"S162-03.75", WMS용마재고!$L:$L)</f>
        <v>93</v>
      </c>
      <c r="R32" s="159">
        <f>SUMIF(WMS용마재고!$A:$A,"S162-04.00", WMS용마재고!$L:$L)</f>
        <v>126</v>
      </c>
      <c r="S32" s="159">
        <f>SUMIF(WMS용마재고!$A:$A,"S162-04.25", WMS용마재고!$L:$L)</f>
        <v>228</v>
      </c>
      <c r="T32" s="159">
        <f>SUMIF(WMS용마재고!$A:$A,"S162-04.50", WMS용마재고!$L:$L)</f>
        <v>178</v>
      </c>
      <c r="U32" s="159">
        <f>SUMIF(WMS용마재고!$A:$A,"S162-04.75", WMS용마재고!$L:$L)</f>
        <v>128</v>
      </c>
      <c r="V32" s="159">
        <f>SUMIF(WMS용마재고!$A:$A,"S162-05.00", WMS용마재고!$L:$L)</f>
        <v>140</v>
      </c>
      <c r="W32" s="159">
        <f>SUMIF(WMS용마재고!$A:$A,"S162-05.25", WMS용마재고!$L:$L)</f>
        <v>435</v>
      </c>
      <c r="X32" s="159">
        <f>SUMIF(WMS용마재고!$A:$A,"S162-05.50", WMS용마재고!$L:$L)</f>
        <v>116</v>
      </c>
      <c r="Y32" s="159">
        <f>SUMIF(WMS용마재고!$A:$A,"S162-05.75", WMS용마재고!$L:$L)</f>
        <v>123</v>
      </c>
      <c r="Z32" s="159">
        <f>SUMIF(WMS용마재고!$A:$A,"S162-06.00", WMS용마재고!$L:$L)</f>
        <v>123</v>
      </c>
      <c r="AA32" s="159">
        <f>SUMIF(WMS용마재고!$A:$A,"S162-06.50", WMS용마재고!$L:$L)</f>
        <v>226</v>
      </c>
      <c r="AB32" s="159">
        <f>SUMIF(WMS용마재고!$A:$A,"S162-07.00", WMS용마재고!$L:$L)</f>
        <v>149</v>
      </c>
      <c r="AC32" s="159">
        <f>SUMIF(WMS용마재고!$A:$A,"S162-07.50", WMS용마재고!$L:$L)</f>
        <v>237</v>
      </c>
      <c r="AD32" s="159">
        <f>SUMIF(WMS용마재고!$A:$A,"S162-08.00", WMS용마재고!$L:$L)</f>
        <v>440</v>
      </c>
      <c r="AE32" s="159">
        <f>SUMIF(WMS용마재고!$A:$A,"S162-08.50", WMS용마재고!$L:$L)</f>
        <v>64</v>
      </c>
      <c r="AF32" s="159">
        <f>SUMIF(WMS용마재고!$A:$A,"S162-09.00", WMS용마재고!$L:$L)</f>
        <v>355</v>
      </c>
      <c r="AG32" s="159">
        <f>SUMIF(WMS용마재고!$A:$A,"S162-09.50", WMS용마재고!$L:$L)</f>
        <v>67</v>
      </c>
      <c r="AH32" s="438">
        <f>SUMIF(WMS용마재고!$A:$A,"S162-10.00", WMS용마재고!$L:$L)</f>
        <v>323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411</v>
      </c>
      <c r="AP32" s="338">
        <f>SUMIF(WMS용마재고!$A:$A,"S162-00.50", WMS용마재고!$L:$L)</f>
        <v>410</v>
      </c>
      <c r="AQ32" s="338">
        <f>SUMIF(WMS용마재고!$A:$A,"S162-00.75", WMS용마재고!$L:$L)</f>
        <v>13</v>
      </c>
      <c r="AR32" s="338">
        <f>SUMIF(WMS용마재고!$A:$A,"S162-01.00", WMS용마재고!$L:$L)</f>
        <v>165</v>
      </c>
      <c r="AS32" s="338">
        <f>SUMIF(WMS용마재고!$A:$A,"S162-01.25", WMS용마재고!$L:$L)</f>
        <v>193</v>
      </c>
      <c r="AT32" s="338">
        <f>SUMIF(WMS용마재고!$A:$A,"S162-01.50", WMS용마재고!$L:$L)</f>
        <v>177</v>
      </c>
      <c r="AU32" s="338">
        <f>SUMIF(WMS용마재고!$A:$A,"S162-01.75", WMS용마재고!$L:$L)</f>
        <v>128</v>
      </c>
      <c r="AV32" s="338">
        <f>SUMIF(WMS용마재고!$A:$A,"S162-02.00", WMS용마재고!$L:$L)</f>
        <v>187</v>
      </c>
      <c r="AW32" s="338">
        <f>SUMIF(WMS용마재고!$A:$A,"S162-02.25", WMS용마재고!$L:$L)</f>
        <v>209</v>
      </c>
      <c r="AX32" s="338">
        <f>SUMIF(WMS용마재고!$A:$A,"S162-02.50", WMS용마재고!$L:$L)</f>
        <v>164</v>
      </c>
      <c r="AY32" s="338">
        <f>SUMIF(WMS용마재고!$A:$A,"S162-02.75", WMS용마재고!$L:$L)</f>
        <v>232</v>
      </c>
      <c r="AZ32" s="338">
        <f>SUMIF(WMS용마재고!$A:$A,"S162-03.00", WMS용마재고!$L:$L)</f>
        <v>118</v>
      </c>
      <c r="BA32" s="338">
        <f>SUMIF(WMS용마재고!$A:$A,"S162-03.25", WMS용마재고!$L:$L)</f>
        <v>325</v>
      </c>
      <c r="BB32" s="338">
        <f>SUMIF(WMS용마재고!$A:$A,"S162-03.50", WMS용마재고!$L:$L)</f>
        <v>157</v>
      </c>
      <c r="BC32" s="338">
        <f>SUMIF(WMS용마재고!$A:$A,"S162-03.75", WMS용마재고!$L:$L)</f>
        <v>93</v>
      </c>
      <c r="BD32" s="338">
        <f>SUMIF(WMS용마재고!$A:$A,"S162-04.00", WMS용마재고!$L:$L)</f>
        <v>126</v>
      </c>
      <c r="BE32" s="338">
        <f>SUMIF(WMS용마재고!$A:$A,"S162-04.25", WMS용마재고!$L:$L)</f>
        <v>228</v>
      </c>
      <c r="BF32" s="338">
        <f>SUMIF(WMS용마재고!$A:$A,"S162-04.50", WMS용마재고!$L:$L)</f>
        <v>178</v>
      </c>
      <c r="BG32" s="338">
        <f>SUMIF(WMS용마재고!$A:$A,"S162-04.75", WMS용마재고!$L:$L)</f>
        <v>128</v>
      </c>
      <c r="BH32" s="338">
        <f>SUMIF(WMS용마재고!$A:$A,"S162-05.00", WMS용마재고!$L:$L)</f>
        <v>140</v>
      </c>
      <c r="BI32" s="338">
        <f>SUMIF(WMS용마재고!$A:$A,"S162-05.25", WMS용마재고!$L:$L)</f>
        <v>435</v>
      </c>
      <c r="BJ32" s="338">
        <f>SUMIF(WMS용마재고!$A:$A,"S162-05.50", WMS용마재고!$L:$L)</f>
        <v>116</v>
      </c>
      <c r="BK32" s="338">
        <f>SUMIF(WMS용마재고!$A:$A,"S162-05.75", WMS용마재고!$L:$L)</f>
        <v>123</v>
      </c>
      <c r="BL32" s="338">
        <f>SUMIF(WMS용마재고!$A:$A,"S162-06.00", WMS용마재고!$L:$L)</f>
        <v>123</v>
      </c>
      <c r="BM32" s="338">
        <f>SUMIF(WMS용마재고!$A:$A,"S162-06.50", WMS용마재고!$L:$L)</f>
        <v>226</v>
      </c>
      <c r="BN32" s="338">
        <f>SUMIF(WMS용마재고!$A:$A,"S162-07.00", WMS용마재고!$L:$L)</f>
        <v>149</v>
      </c>
      <c r="BO32" s="338">
        <f>SUMIF(WMS용마재고!$A:$A,"S162-07.50", WMS용마재고!$L:$L)</f>
        <v>237</v>
      </c>
      <c r="BP32" s="338">
        <f>SUMIF(WMS용마재고!$A:$A,"S162-08.00", WMS용마재고!$L:$L)</f>
        <v>440</v>
      </c>
      <c r="BQ32" s="338">
        <f>SUMIF(WMS용마재고!$A:$A,"S162-08.50", WMS용마재고!$L:$L)</f>
        <v>64</v>
      </c>
      <c r="BR32" s="338">
        <f>SUMIF(WMS용마재고!$A:$A,"S162-09.00", WMS용마재고!$L:$L)</f>
        <v>355</v>
      </c>
      <c r="BS32" s="338">
        <f>SUMIF(WMS용마재고!$A:$A,"S162-09.50", WMS용마재고!$L:$L)</f>
        <v>67</v>
      </c>
      <c r="BT32" s="338">
        <f>SUMIF(WMS용마재고!$A:$A,"S162-10.00", WMS용마재고!$L:$L)</f>
        <v>323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411</v>
      </c>
      <c r="BZ32" s="192">
        <v>410</v>
      </c>
      <c r="CA32" s="192">
        <v>13</v>
      </c>
      <c r="CB32" s="192">
        <v>165</v>
      </c>
      <c r="CC32" s="192">
        <v>193</v>
      </c>
      <c r="CD32" s="192">
        <v>177</v>
      </c>
      <c r="CE32" s="192">
        <v>128</v>
      </c>
      <c r="CF32" s="192">
        <v>187</v>
      </c>
      <c r="CG32" s="192">
        <v>209</v>
      </c>
      <c r="CH32" s="192">
        <v>164</v>
      </c>
      <c r="CI32" s="192">
        <v>232</v>
      </c>
      <c r="CJ32" s="192">
        <v>118</v>
      </c>
      <c r="CK32" s="192">
        <v>325</v>
      </c>
      <c r="CL32" s="192">
        <v>157</v>
      </c>
      <c r="CM32" s="192">
        <v>93</v>
      </c>
      <c r="CN32" s="192">
        <v>126</v>
      </c>
      <c r="CO32" s="192">
        <v>228</v>
      </c>
      <c r="CP32" s="192">
        <v>178</v>
      </c>
      <c r="CQ32" s="193">
        <v>128</v>
      </c>
      <c r="CR32" s="193">
        <v>140</v>
      </c>
      <c r="CS32" s="193">
        <v>435</v>
      </c>
      <c r="CT32" s="193">
        <v>116</v>
      </c>
      <c r="CU32" s="193">
        <v>123</v>
      </c>
      <c r="CV32" s="193">
        <v>123</v>
      </c>
      <c r="CW32" s="193">
        <v>226</v>
      </c>
      <c r="CX32" s="193">
        <v>149</v>
      </c>
      <c r="CY32" s="193">
        <v>237</v>
      </c>
      <c r="CZ32" s="193">
        <v>440</v>
      </c>
      <c r="DA32" s="193">
        <v>64</v>
      </c>
      <c r="DB32" s="193">
        <v>355</v>
      </c>
      <c r="DC32" s="193">
        <v>67</v>
      </c>
      <c r="DD32" s="193">
        <v>323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1" t="s">
        <v>4958</v>
      </c>
      <c r="B33" s="562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4605</v>
      </c>
      <c r="C34" s="171">
        <f>SUMIF(WMS용마재고!$A:$A,"s156-00.00", WMS용마재고!$L:$L)</f>
        <v>984</v>
      </c>
      <c r="D34" s="164">
        <f>SUMIF(WMS용마재고!$A:$A,"s156-00.50", WMS용마재고!$L:$L)</f>
        <v>295</v>
      </c>
      <c r="E34" s="164">
        <f>SUMIF(WMS용마재고!$A:$A,"s156-00.75", WMS용마재고!$L:$L)</f>
        <v>374</v>
      </c>
      <c r="F34" s="164">
        <f>SUMIF(WMS용마재고!$A:$A,"s156-01.00", WMS용마재고!$L:$L)</f>
        <v>457</v>
      </c>
      <c r="G34" s="164">
        <f>SUMIF(WMS용마재고!$A:$A,"s156-01.25", WMS용마재고!$L:$L)</f>
        <v>469</v>
      </c>
      <c r="H34" s="164">
        <f>SUMIF(WMS용마재고!$A:$A,"s156-01.50", WMS용마재고!$L:$L)</f>
        <v>563</v>
      </c>
      <c r="I34" s="164">
        <f>SUMIF(WMS용마재고!$A:$A,"s156-01.75", WMS용마재고!$L:$L)</f>
        <v>553</v>
      </c>
      <c r="J34" s="164">
        <f>SUMIF(WMS용마재고!$A:$A,"s156-02.00", WMS용마재고!$L:$L)</f>
        <v>1065</v>
      </c>
      <c r="K34" s="164">
        <f>SUMIF(WMS용마재고!$A:$A,"s156-02.25", WMS용마재고!$L:$L)</f>
        <v>1127</v>
      </c>
      <c r="L34" s="164">
        <f>SUMIF(WMS용마재고!$A:$A,"s156-02.50", WMS용마재고!$L:$L)</f>
        <v>1356</v>
      </c>
      <c r="M34" s="164">
        <f>SUMIF(WMS용마재고!$A:$A,"s156-02.75", WMS용마재고!$L:$L)</f>
        <v>1554</v>
      </c>
      <c r="N34" s="164">
        <f>SUMIF(WMS용마재고!$A:$A,"s156-03.00", WMS용마재고!$L:$L)</f>
        <v>1445</v>
      </c>
      <c r="O34" s="164">
        <f>SUMIF(WMS용마재고!$A:$A,"s156-03.25", WMS용마재고!$L:$L)</f>
        <v>1437</v>
      </c>
      <c r="P34" s="164">
        <f>SUMIF(WMS용마재고!$A:$A,"s156-03.50", WMS용마재고!$L:$L)</f>
        <v>2014</v>
      </c>
      <c r="Q34" s="164">
        <f>SUMIF(WMS용마재고!$A:$A,"s156-03.75", WMS용마재고!$L:$L)</f>
        <v>1761</v>
      </c>
      <c r="R34" s="164">
        <f>SUMIF(WMS용마재고!$A:$A,"s156-04.00", WMS용마재고!$L:$L)</f>
        <v>1796</v>
      </c>
      <c r="S34" s="164">
        <f>SUMIF(WMS용마재고!$A:$A,"s156-04.25", WMS용마재고!$L:$L)</f>
        <v>1236</v>
      </c>
      <c r="T34" s="164">
        <f>SUMIF(WMS용마재고!$A:$A,"s156-04.50", WMS용마재고!$L:$L)</f>
        <v>1061</v>
      </c>
      <c r="U34" s="164">
        <f>SUMIF(WMS용마재고!$A:$A,"s156-04.75", WMS용마재고!$L:$L)</f>
        <v>993</v>
      </c>
      <c r="V34" s="164">
        <f>SUMIF(WMS용마재고!$A:$A,"s156-05.00", WMS용마재고!$L:$L)</f>
        <v>1200</v>
      </c>
      <c r="W34" s="164">
        <f>SUMIF(WMS용마재고!$A:$A,"s156-05.25", WMS용마재고!$L:$L)</f>
        <v>405</v>
      </c>
      <c r="X34" s="164">
        <f>SUMIF(WMS용마재고!$A:$A,"s156-05.50", WMS용마재고!$L:$L)</f>
        <v>1199</v>
      </c>
      <c r="Y34" s="164">
        <f>SUMIF(WMS용마재고!$A:$A,"s156-05.75", WMS용마재고!$L:$L)</f>
        <v>334</v>
      </c>
      <c r="Z34" s="164">
        <f>SUMIF(WMS용마재고!$A:$A,"s156-06.00", WMS용마재고!$L:$L)</f>
        <v>1611</v>
      </c>
      <c r="AA34" s="164">
        <f>SUMIF(WMS용마재고!$A:$A,"s156-06.50", WMS용마재고!$L:$L)</f>
        <v>1287</v>
      </c>
      <c r="AB34" s="164">
        <f>SUMIF(WMS용마재고!$A:$A,"s156-07.00", WMS용마재고!$L:$L)</f>
        <v>976</v>
      </c>
      <c r="AC34" s="164">
        <f>SUMIF(WMS용마재고!$A:$A,"s156-07.50", WMS용마재고!$L:$L)</f>
        <v>828</v>
      </c>
      <c r="AD34" s="164">
        <f>SUMIF(WMS용마재고!$A:$A,"s156-08.00", WMS용마재고!$L:$L)</f>
        <v>688</v>
      </c>
      <c r="AE34" s="164">
        <f>SUMIF(WMS용마재고!$A:$A,"s156-08.50", WMS용마재고!$L:$L)</f>
        <v>365</v>
      </c>
      <c r="AF34" s="164">
        <f>SUMIF(WMS용마재고!$A:$A,"s156-09.00", WMS용마재고!$L:$L)</f>
        <v>295</v>
      </c>
      <c r="AG34" s="164">
        <f>SUMIF(WMS용마재고!$A:$A,"s156-09.50", WMS용마재고!$L:$L)</f>
        <v>363</v>
      </c>
      <c r="AH34" s="167">
        <f>SUMIF(WMS용마재고!$A:$A,"s156-10.00", WMS용마재고!$L:$L)</f>
        <v>288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984</v>
      </c>
      <c r="AP34" s="336">
        <f>SUMIF(WMS용마재고!$A:$A,"s156-00.50", WMS용마재고!$L:$L)</f>
        <v>295</v>
      </c>
      <c r="AQ34" s="336">
        <f>SUMIF(WMS용마재고!$A:$A,"s156-00.75", WMS용마재고!$L:$L)</f>
        <v>374</v>
      </c>
      <c r="AR34" s="336">
        <f>SUMIF(WMS용마재고!$A:$A,"s156-01.00", WMS용마재고!$L:$L)</f>
        <v>457</v>
      </c>
      <c r="AS34" s="336">
        <f>SUMIF(WMS용마재고!$A:$A,"s156-01.25", WMS용마재고!$L:$L)</f>
        <v>469</v>
      </c>
      <c r="AT34" s="336">
        <f>SUMIF(WMS용마재고!$A:$A,"s156-01.50", WMS용마재고!$L:$L)</f>
        <v>563</v>
      </c>
      <c r="AU34" s="336">
        <f>SUMIF(WMS용마재고!$A:$A,"s156-01.75", WMS용마재고!$L:$L)</f>
        <v>553</v>
      </c>
      <c r="AV34" s="336">
        <f>SUMIF(WMS용마재고!$A:$A,"s156-02.00", WMS용마재고!$L:$L)</f>
        <v>1065</v>
      </c>
      <c r="AW34" s="336">
        <f>SUMIF(WMS용마재고!$A:$A,"s156-02.25", WMS용마재고!$L:$L)</f>
        <v>1127</v>
      </c>
      <c r="AX34" s="336">
        <f>SUMIF(WMS용마재고!$A:$A,"s156-02.50", WMS용마재고!$L:$L)</f>
        <v>1356</v>
      </c>
      <c r="AY34" s="336">
        <f>SUMIF(WMS용마재고!$A:$A,"s156-02.75", WMS용마재고!$L:$L)</f>
        <v>1554</v>
      </c>
      <c r="AZ34" s="336">
        <f>SUMIF(WMS용마재고!$A:$A,"s156-03.00", WMS용마재고!$L:$L)</f>
        <v>1445</v>
      </c>
      <c r="BA34" s="336">
        <f>SUMIF(WMS용마재고!$A:$A,"s156-03.25", WMS용마재고!$L:$L)</f>
        <v>1437</v>
      </c>
      <c r="BB34" s="336">
        <f>SUMIF(WMS용마재고!$A:$A,"s156-03.50", WMS용마재고!$L:$L)</f>
        <v>2014</v>
      </c>
      <c r="BC34" s="336">
        <f>SUMIF(WMS용마재고!$A:$A,"s156-03.75", WMS용마재고!$L:$L)</f>
        <v>1761</v>
      </c>
      <c r="BD34" s="336">
        <f>SUMIF(WMS용마재고!$A:$A,"s156-04.00", WMS용마재고!$L:$L)</f>
        <v>1796</v>
      </c>
      <c r="BE34" s="336">
        <f>SUMIF(WMS용마재고!$A:$A,"s156-04.25", WMS용마재고!$L:$L)</f>
        <v>1236</v>
      </c>
      <c r="BF34" s="336">
        <f>SUMIF(WMS용마재고!$A:$A,"s156-04.50", WMS용마재고!$L:$L)</f>
        <v>1061</v>
      </c>
      <c r="BG34" s="336">
        <f>SUMIF(WMS용마재고!$A:$A,"s156-04.75", WMS용마재고!$L:$L)</f>
        <v>993</v>
      </c>
      <c r="BH34" s="336">
        <f>SUMIF(WMS용마재고!$A:$A,"s156-05.00", WMS용마재고!$L:$L)</f>
        <v>1200</v>
      </c>
      <c r="BI34" s="336">
        <f>SUMIF(WMS용마재고!$A:$A,"s156-05.25", WMS용마재고!$L:$L)</f>
        <v>405</v>
      </c>
      <c r="BJ34" s="336">
        <f>SUMIF(WMS용마재고!$A:$A,"s156-05.50", WMS용마재고!$L:$L)</f>
        <v>1199</v>
      </c>
      <c r="BK34" s="336">
        <f>SUMIF(WMS용마재고!$A:$A,"s156-05.75", WMS용마재고!$L:$L)</f>
        <v>334</v>
      </c>
      <c r="BL34" s="336">
        <f>SUMIF(WMS용마재고!$A:$A,"s156-06.00", WMS용마재고!$L:$L)</f>
        <v>1611</v>
      </c>
      <c r="BM34" s="336">
        <f>SUMIF(WMS용마재고!$A:$A,"s156-06.50", WMS용마재고!$L:$L)</f>
        <v>1287</v>
      </c>
      <c r="BN34" s="336">
        <f>SUMIF(WMS용마재고!$A:$A,"s156-07.00", WMS용마재고!$L:$L)</f>
        <v>976</v>
      </c>
      <c r="BO34" s="336">
        <f>SUMIF(WMS용마재고!$A:$A,"s156-07.50", WMS용마재고!$L:$L)</f>
        <v>828</v>
      </c>
      <c r="BP34" s="336">
        <f>SUMIF(WMS용마재고!$A:$A,"s156-08.00", WMS용마재고!$L:$L)</f>
        <v>688</v>
      </c>
      <c r="BQ34" s="336">
        <f>SUMIF(WMS용마재고!$A:$A,"s156-08.50", WMS용마재고!$L:$L)</f>
        <v>365</v>
      </c>
      <c r="BR34" s="336">
        <f>SUMIF(WMS용마재고!$A:$A,"s156-09.00", WMS용마재고!$L:$L)</f>
        <v>295</v>
      </c>
      <c r="BS34" s="336">
        <f>SUMIF(WMS용마재고!$A:$A,"s156-09.50", WMS용마재고!$L:$L)</f>
        <v>363</v>
      </c>
      <c r="BT34" s="336">
        <f>SUMIF(WMS용마재고!$A:$A,"s156-10.00", WMS용마재고!$L:$L)</f>
        <v>288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1014</v>
      </c>
      <c r="BZ34" s="192">
        <v>295</v>
      </c>
      <c r="CA34" s="192">
        <v>374</v>
      </c>
      <c r="CB34" s="192">
        <v>487</v>
      </c>
      <c r="CC34" s="192">
        <v>499</v>
      </c>
      <c r="CD34" s="192">
        <v>593</v>
      </c>
      <c r="CE34" s="192">
        <v>583</v>
      </c>
      <c r="CF34" s="192">
        <v>1095</v>
      </c>
      <c r="CG34" s="192">
        <v>1157</v>
      </c>
      <c r="CH34" s="192">
        <v>1386</v>
      </c>
      <c r="CI34" s="192">
        <v>1584</v>
      </c>
      <c r="CJ34" s="192">
        <v>1475</v>
      </c>
      <c r="CK34" s="192">
        <v>1467</v>
      </c>
      <c r="CL34" s="192">
        <v>2044</v>
      </c>
      <c r="CM34" s="192">
        <v>1791</v>
      </c>
      <c r="CN34" s="192">
        <v>1826</v>
      </c>
      <c r="CO34" s="192">
        <v>1266</v>
      </c>
      <c r="CP34" s="192">
        <v>1091</v>
      </c>
      <c r="CQ34" s="193">
        <v>1013</v>
      </c>
      <c r="CR34" s="193">
        <v>1230</v>
      </c>
      <c r="CS34" s="193">
        <v>425</v>
      </c>
      <c r="CT34" s="193">
        <v>1219</v>
      </c>
      <c r="CU34" s="193">
        <v>354</v>
      </c>
      <c r="CV34" s="193">
        <v>1636</v>
      </c>
      <c r="CW34" s="193">
        <v>1307</v>
      </c>
      <c r="CX34" s="193">
        <v>1001</v>
      </c>
      <c r="CY34" s="193">
        <v>828</v>
      </c>
      <c r="CZ34" s="193">
        <v>688</v>
      </c>
      <c r="DA34" s="193">
        <v>365</v>
      </c>
      <c r="DB34" s="193">
        <v>295</v>
      </c>
      <c r="DC34" s="193">
        <v>363</v>
      </c>
      <c r="DD34" s="193">
        <v>288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809</v>
      </c>
      <c r="D35" s="159">
        <f>SUMIF(WMS용마재고!$A:$A,"S157-00.50", WMS용마재고!$L:$L)</f>
        <v>162</v>
      </c>
      <c r="E35" s="159">
        <f>SUMIF(WMS용마재고!$A:$A,"S157-00.75", WMS용마재고!$L:$L)</f>
        <v>175</v>
      </c>
      <c r="F35" s="159">
        <f>SUMIF(WMS용마재고!$A:$A,"S157-01.00", WMS용마재고!$L:$L)</f>
        <v>324</v>
      </c>
      <c r="G35" s="159">
        <f>SUMIF(WMS용마재고!$A:$A,"S157-01.25", WMS용마재고!$L:$L)</f>
        <v>123</v>
      </c>
      <c r="H35" s="159">
        <f>SUMIF(WMS용마재고!$A:$A,"S157-01.50", WMS용마재고!$L:$L)</f>
        <v>692</v>
      </c>
      <c r="I35" s="159">
        <f>SUMIF(WMS용마재고!$A:$A,"S157-01.75", WMS용마재고!$L:$L)</f>
        <v>133</v>
      </c>
      <c r="J35" s="159">
        <f>SUMIF(WMS용마재고!$A:$A,"S157-02.00", WMS용마재고!$L:$L)</f>
        <v>180</v>
      </c>
      <c r="K35" s="159">
        <f>SUMIF(WMS용마재고!$A:$A,"S157-02.25", WMS용마재고!$L:$L)</f>
        <v>667</v>
      </c>
      <c r="L35" s="159">
        <f>SUMIF(WMS용마재고!$A:$A,"S157-02.50", WMS용마재고!$L:$L)</f>
        <v>319</v>
      </c>
      <c r="M35" s="159">
        <f>SUMIF(WMS용마재고!$A:$A,"S157-02.75", WMS용마재고!$L:$L)</f>
        <v>500</v>
      </c>
      <c r="N35" s="159">
        <f>SUMIF(WMS용마재고!$A:$A,"S157-03.00", WMS용마재고!$L:$L)</f>
        <v>781</v>
      </c>
      <c r="O35" s="159">
        <f>SUMIF(WMS용마재고!$A:$A,"S157-03.25", WMS용마재고!$L:$L)</f>
        <v>784</v>
      </c>
      <c r="P35" s="159">
        <f>SUMIF(WMS용마재고!$A:$A,"S157-03.50", WMS용마재고!$L:$L)</f>
        <v>850</v>
      </c>
      <c r="Q35" s="159">
        <f>SUMIF(WMS용마재고!$A:$A,"S157-03.75", WMS용마재고!$L:$L)</f>
        <v>769</v>
      </c>
      <c r="R35" s="159">
        <f>SUMIF(WMS용마재고!$A:$A,"S157-04.00", WMS용마재고!$L:$L)</f>
        <v>620</v>
      </c>
      <c r="S35" s="159">
        <f>SUMIF(WMS용마재고!$A:$A,"S157-04.25", WMS용마재고!$L:$L)</f>
        <v>902</v>
      </c>
      <c r="T35" s="159">
        <f>SUMIF(WMS용마재고!$A:$A,"S157-04.50", WMS용마재고!$L:$L)</f>
        <v>775</v>
      </c>
      <c r="U35" s="159">
        <f>SUMIF(WMS용마재고!$A:$A,"S157-04.75", WMS용마재고!$L:$L)</f>
        <v>551</v>
      </c>
      <c r="V35" s="159">
        <f>SUMIF(WMS용마재고!$A:$A,"S157-05.00", WMS용마재고!$L:$L)</f>
        <v>1285</v>
      </c>
      <c r="W35" s="159">
        <f>SUMIF(WMS용마재고!$A:$A,"S157-05.25", WMS용마재고!$L:$L)</f>
        <v>240</v>
      </c>
      <c r="X35" s="159">
        <f>SUMIF(WMS용마재고!$A:$A,"S157-05.50", WMS용마재고!$L:$L)</f>
        <v>722</v>
      </c>
      <c r="Y35" s="159">
        <f>SUMIF(WMS용마재고!$A:$A,"S157-05.75", WMS용마재고!$L:$L)</f>
        <v>454</v>
      </c>
      <c r="Z35" s="159">
        <f>SUMIF(WMS용마재고!$A:$A,"S157-06.00", WMS용마재고!$L:$L)</f>
        <v>847</v>
      </c>
      <c r="AA35" s="159">
        <f>SUMIF(WMS용마재고!$A:$A,"S157-06.50", WMS용마재고!$L:$L)</f>
        <v>948</v>
      </c>
      <c r="AB35" s="159">
        <f>SUMIF(WMS용마재고!$A:$A,"S157-07.00", WMS용마재고!$L:$L)</f>
        <v>584</v>
      </c>
      <c r="AC35" s="159">
        <f>SUMIF(WMS용마재고!$A:$A,"S157-07.50", WMS용마재고!$L:$L)</f>
        <v>561</v>
      </c>
      <c r="AD35" s="159">
        <f>SUMIF(WMS용마재고!$A:$A,"S157-08.00", WMS용마재고!$L:$L)</f>
        <v>543</v>
      </c>
      <c r="AE35" s="159">
        <f>SUMIF(WMS용마재고!$A:$A,"S157-08.50", WMS용마재고!$L:$L)</f>
        <v>251</v>
      </c>
      <c r="AF35" s="159">
        <f>SUMIF(WMS용마재고!$A:$A,"S157-09.00", WMS용마재고!$L:$L)</f>
        <v>241</v>
      </c>
      <c r="AG35" s="159">
        <f>SUMIF(WMS용마재고!$A:$A,"S157-09.50", WMS용마재고!$L:$L)</f>
        <v>148</v>
      </c>
      <c r="AH35" s="438">
        <f>SUMIF(WMS용마재고!$A:$A,"S157-10.00", WMS용마재고!$L:$L)</f>
        <v>205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809</v>
      </c>
      <c r="AP35" s="191">
        <f>SUMIF(WMS용마재고!$A:$A,"S157-00.50", WMS용마재고!$L:$L)</f>
        <v>162</v>
      </c>
      <c r="AQ35" s="191">
        <f>SUMIF(WMS용마재고!$A:$A,"S157-00.75", WMS용마재고!$L:$L)</f>
        <v>175</v>
      </c>
      <c r="AR35" s="191">
        <f>SUMIF(WMS용마재고!$A:$A,"S157-01.00", WMS용마재고!$L:$L)</f>
        <v>324</v>
      </c>
      <c r="AS35" s="191">
        <f>SUMIF(WMS용마재고!$A:$A,"S157-01.25", WMS용마재고!$L:$L)</f>
        <v>123</v>
      </c>
      <c r="AT35" s="191">
        <f>SUMIF(WMS용마재고!$A:$A,"S157-01.50", WMS용마재고!$L:$L)</f>
        <v>692</v>
      </c>
      <c r="AU35" s="191">
        <f>SUMIF(WMS용마재고!$A:$A,"S157-01.75", WMS용마재고!$L:$L)</f>
        <v>133</v>
      </c>
      <c r="AV35" s="191">
        <f>SUMIF(WMS용마재고!$A:$A,"S157-02.00", WMS용마재고!$L:$L)</f>
        <v>180</v>
      </c>
      <c r="AW35" s="191">
        <f>SUMIF(WMS용마재고!$A:$A,"S157-02.25", WMS용마재고!$L:$L)</f>
        <v>667</v>
      </c>
      <c r="AX35" s="191">
        <f>SUMIF(WMS용마재고!$A:$A,"S157-02.50", WMS용마재고!$L:$L)</f>
        <v>319</v>
      </c>
      <c r="AY35" s="191">
        <f>SUMIF(WMS용마재고!$A:$A,"S157-02.75", WMS용마재고!$L:$L)</f>
        <v>500</v>
      </c>
      <c r="AZ35" s="191">
        <f>SUMIF(WMS용마재고!$A:$A,"S157-03.00", WMS용마재고!$L:$L)</f>
        <v>781</v>
      </c>
      <c r="BA35" s="191">
        <f>SUMIF(WMS용마재고!$A:$A,"S157-03.25", WMS용마재고!$L:$L)</f>
        <v>784</v>
      </c>
      <c r="BB35" s="191">
        <f>SUMIF(WMS용마재고!$A:$A,"S157-03.50", WMS용마재고!$L:$L)</f>
        <v>850</v>
      </c>
      <c r="BC35" s="191">
        <f>SUMIF(WMS용마재고!$A:$A,"S157-03.75", WMS용마재고!$L:$L)</f>
        <v>769</v>
      </c>
      <c r="BD35" s="191">
        <f>SUMIF(WMS용마재고!$A:$A,"S157-04.00", WMS용마재고!$L:$L)</f>
        <v>620</v>
      </c>
      <c r="BE35" s="191">
        <f>SUMIF(WMS용마재고!$A:$A,"S157-04.25", WMS용마재고!$L:$L)</f>
        <v>902</v>
      </c>
      <c r="BF35" s="191">
        <f>SUMIF(WMS용마재고!$A:$A,"S157-04.50", WMS용마재고!$L:$L)</f>
        <v>775</v>
      </c>
      <c r="BG35" s="191">
        <f>SUMIF(WMS용마재고!$A:$A,"S157-04.75", WMS용마재고!$L:$L)</f>
        <v>551</v>
      </c>
      <c r="BH35" s="191">
        <f>SUMIF(WMS용마재고!$A:$A,"S157-05.00", WMS용마재고!$L:$L)</f>
        <v>1285</v>
      </c>
      <c r="BI35" s="191">
        <f>SUMIF(WMS용마재고!$A:$A,"S157-05.25", WMS용마재고!$L:$L)</f>
        <v>240</v>
      </c>
      <c r="BJ35" s="191">
        <f>SUMIF(WMS용마재고!$A:$A,"S157-05.50", WMS용마재고!$L:$L)</f>
        <v>722</v>
      </c>
      <c r="BK35" s="191">
        <f>SUMIF(WMS용마재고!$A:$A,"S157-05.75", WMS용마재고!$L:$L)</f>
        <v>454</v>
      </c>
      <c r="BL35" s="191">
        <f>SUMIF(WMS용마재고!$A:$A,"S157-06.00", WMS용마재고!$L:$L)</f>
        <v>847</v>
      </c>
      <c r="BM35" s="191">
        <f>SUMIF(WMS용마재고!$A:$A,"S157-06.50", WMS용마재고!$L:$L)</f>
        <v>948</v>
      </c>
      <c r="BN35" s="191">
        <f>SUMIF(WMS용마재고!$A:$A,"S157-07.00", WMS용마재고!$L:$L)</f>
        <v>584</v>
      </c>
      <c r="BO35" s="191">
        <f>SUMIF(WMS용마재고!$A:$A,"S157-07.50", WMS용마재고!$L:$L)</f>
        <v>561</v>
      </c>
      <c r="BP35" s="191">
        <f>SUMIF(WMS용마재고!$A:$A,"S157-08.00", WMS용마재고!$L:$L)</f>
        <v>543</v>
      </c>
      <c r="BQ35" s="191">
        <f>SUMIF(WMS용마재고!$A:$A,"S157-08.50", WMS용마재고!$L:$L)</f>
        <v>251</v>
      </c>
      <c r="BR35" s="191">
        <f>SUMIF(WMS용마재고!$A:$A,"S157-09.00", WMS용마재고!$L:$L)</f>
        <v>241</v>
      </c>
      <c r="BS35" s="191">
        <f>SUMIF(WMS용마재고!$A:$A,"S157-09.50", WMS용마재고!$L:$L)</f>
        <v>148</v>
      </c>
      <c r="BT35" s="191">
        <f>SUMIF(WMS용마재고!$A:$A,"S157-10.00", WMS용마재고!$L:$L)</f>
        <v>205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834</v>
      </c>
      <c r="BZ35" s="192">
        <v>162</v>
      </c>
      <c r="CA35" s="192">
        <v>175</v>
      </c>
      <c r="CB35" s="192">
        <v>349</v>
      </c>
      <c r="CC35" s="192">
        <v>148</v>
      </c>
      <c r="CD35" s="192">
        <v>717</v>
      </c>
      <c r="CE35" s="192">
        <v>153</v>
      </c>
      <c r="CF35" s="192">
        <v>205</v>
      </c>
      <c r="CG35" s="192">
        <v>687</v>
      </c>
      <c r="CH35" s="192">
        <v>339</v>
      </c>
      <c r="CI35" s="192">
        <v>520</v>
      </c>
      <c r="CJ35" s="192">
        <v>806</v>
      </c>
      <c r="CK35" s="192">
        <v>804</v>
      </c>
      <c r="CL35" s="192">
        <v>870</v>
      </c>
      <c r="CM35" s="192">
        <v>789</v>
      </c>
      <c r="CN35" s="192">
        <v>645</v>
      </c>
      <c r="CO35" s="192">
        <v>922</v>
      </c>
      <c r="CP35" s="192">
        <v>795</v>
      </c>
      <c r="CQ35" s="193">
        <v>571</v>
      </c>
      <c r="CR35" s="193">
        <v>1310</v>
      </c>
      <c r="CS35" s="193">
        <v>260</v>
      </c>
      <c r="CT35" s="193">
        <v>742</v>
      </c>
      <c r="CU35" s="193">
        <v>474</v>
      </c>
      <c r="CV35" s="193">
        <v>872</v>
      </c>
      <c r="CW35" s="193">
        <v>968</v>
      </c>
      <c r="CX35" s="193">
        <v>609</v>
      </c>
      <c r="CY35" s="193">
        <v>561</v>
      </c>
      <c r="CZ35" s="193">
        <v>543</v>
      </c>
      <c r="DA35" s="193">
        <v>251</v>
      </c>
      <c r="DB35" s="193">
        <v>241</v>
      </c>
      <c r="DC35" s="193">
        <v>148</v>
      </c>
      <c r="DD35" s="193">
        <v>205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372</v>
      </c>
      <c r="D36" s="159">
        <f>SUMIF(WMS용마재고!$A:$A,"S155-00.50", WMS용마재고!$L:$L)</f>
        <v>225</v>
      </c>
      <c r="E36" s="159">
        <f>SUMIF(WMS용마재고!$A:$A,"S155-00.75", WMS용마재고!$L:$L)</f>
        <v>116</v>
      </c>
      <c r="F36" s="159">
        <f>SUMIF(WMS용마재고!$A:$A,"S155-01.00", WMS용마재고!$L:$L)</f>
        <v>174</v>
      </c>
      <c r="G36" s="159">
        <f>SUMIF(WMS용마재고!$A:$A,"S155-01.25", WMS용마재고!$L:$L)</f>
        <v>262</v>
      </c>
      <c r="H36" s="159">
        <f>SUMIF(WMS용마재고!$A:$A,"S155-01.50", WMS용마재고!$L:$L)</f>
        <v>457</v>
      </c>
      <c r="I36" s="159">
        <f>SUMIF(WMS용마재고!$A:$A,"S155-01.75", WMS용마재고!$L:$L)</f>
        <v>427</v>
      </c>
      <c r="J36" s="159">
        <f>SUMIF(WMS용마재고!$A:$A,"S155-02.00", WMS용마재고!$L:$L)</f>
        <v>709</v>
      </c>
      <c r="K36" s="159">
        <f>SUMIF(WMS용마재고!$A:$A,"S155-02.25", WMS용마재고!$L:$L)</f>
        <v>540</v>
      </c>
      <c r="L36" s="159">
        <f>SUMIF(WMS용마재고!$A:$A,"S155-02.50", WMS용마재고!$L:$L)</f>
        <v>364</v>
      </c>
      <c r="M36" s="159">
        <f>SUMIF(WMS용마재고!$A:$A,"S155-02.75", WMS용마재고!$L:$L)</f>
        <v>645</v>
      </c>
      <c r="N36" s="159">
        <f>SUMIF(WMS용마재고!$A:$A,"S155-03.00", WMS용마재고!$L:$L)</f>
        <v>519</v>
      </c>
      <c r="O36" s="159">
        <f>SUMIF(WMS용마재고!$A:$A,"S155-03.25", WMS용마재고!$L:$L)</f>
        <v>323</v>
      </c>
      <c r="P36" s="159">
        <f>SUMIF(WMS용마재고!$A:$A,"S155-03.50", WMS용마재고!$L:$L)</f>
        <v>688</v>
      </c>
      <c r="Q36" s="159">
        <f>SUMIF(WMS용마재고!$A:$A,"S155-03.75", WMS용마재고!$L:$L)</f>
        <v>784</v>
      </c>
      <c r="R36" s="159">
        <f>SUMIF(WMS용마재고!$A:$A,"S155-04.00", WMS용마재고!$L:$L)</f>
        <v>583</v>
      </c>
      <c r="S36" s="159">
        <f>SUMIF(WMS용마재고!$A:$A,"S155-04.25", WMS용마재고!$L:$L)</f>
        <v>370</v>
      </c>
      <c r="T36" s="159">
        <f>SUMIF(WMS용마재고!$A:$A,"S155-04.50", WMS용마재고!$L:$L)</f>
        <v>378</v>
      </c>
      <c r="U36" s="159">
        <f>SUMIF(WMS용마재고!$A:$A,"S155-04.75", WMS용마재고!$L:$L)</f>
        <v>532</v>
      </c>
      <c r="V36" s="159">
        <f>SUMIF(WMS용마재고!$A:$A,"S155-05.00", WMS용마재고!$L:$L)</f>
        <v>557</v>
      </c>
      <c r="W36" s="159">
        <f>SUMIF(WMS용마재고!$A:$A,"S155-05.25", WMS용마재고!$L:$L)</f>
        <v>218</v>
      </c>
      <c r="X36" s="159">
        <f>SUMIF(WMS용마재고!$A:$A,"S155-05.50", WMS용마재고!$L:$L)</f>
        <v>506</v>
      </c>
      <c r="Y36" s="159">
        <f>SUMIF(WMS용마재고!$A:$A,"S155-05.75", WMS용마재고!$L:$L)</f>
        <v>101</v>
      </c>
      <c r="Z36" s="159">
        <f>SUMIF(WMS용마재고!$A:$A,"S155-06.00", WMS용마재고!$L:$L)</f>
        <v>300</v>
      </c>
      <c r="AA36" s="159">
        <f>SUMIF(WMS용마재고!$A:$A,"S155-06.50", WMS용마재고!$L:$L)</f>
        <v>417</v>
      </c>
      <c r="AB36" s="159">
        <f>SUMIF(WMS용마재고!$A:$A,"S155-07.00", WMS용마재고!$L:$L)</f>
        <v>534</v>
      </c>
      <c r="AC36" s="159">
        <f>SUMIF(WMS용마재고!$A:$A,"S155-07.50", WMS용마재고!$L:$L)</f>
        <v>264</v>
      </c>
      <c r="AD36" s="159">
        <f>SUMIF(WMS용마재고!$A:$A,"S155-08.00", WMS용마재고!$L:$L)</f>
        <v>310</v>
      </c>
      <c r="AE36" s="159">
        <f>SUMIF(WMS용마재고!$A:$A,"S155-08.50", WMS용마재고!$L:$L)</f>
        <v>311</v>
      </c>
      <c r="AF36" s="159">
        <f>SUMIF(WMS용마재고!$A:$A,"S155-09.00", WMS용마재고!$L:$L)</f>
        <v>291</v>
      </c>
      <c r="AG36" s="159">
        <f>SUMIF(WMS용마재고!$A:$A,"S155-09.50", WMS용마재고!$L:$L)</f>
        <v>83</v>
      </c>
      <c r="AH36" s="438">
        <f>SUMIF(WMS용마재고!$A:$A,"S155-10.00", WMS용마재고!$L:$L)</f>
        <v>183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372</v>
      </c>
      <c r="AP36" s="191">
        <f>SUMIF(WMS용마재고!$A:$A,"S155-00.50", WMS용마재고!$L:$L)</f>
        <v>225</v>
      </c>
      <c r="AQ36" s="191">
        <f>SUMIF(WMS용마재고!$A:$A,"S155-00.75", WMS용마재고!$L:$L)</f>
        <v>116</v>
      </c>
      <c r="AR36" s="191">
        <f>SUMIF(WMS용마재고!$A:$A,"S155-01.00", WMS용마재고!$L:$L)</f>
        <v>174</v>
      </c>
      <c r="AS36" s="191">
        <f>SUMIF(WMS용마재고!$A:$A,"S155-01.25", WMS용마재고!$L:$L)</f>
        <v>262</v>
      </c>
      <c r="AT36" s="191">
        <f>SUMIF(WMS용마재고!$A:$A,"S155-01.50", WMS용마재고!$L:$L)</f>
        <v>457</v>
      </c>
      <c r="AU36" s="191">
        <f>SUMIF(WMS용마재고!$A:$A,"S155-01.75", WMS용마재고!$L:$L)</f>
        <v>427</v>
      </c>
      <c r="AV36" s="191">
        <f>SUMIF(WMS용마재고!$A:$A,"S155-02.00", WMS용마재고!$L:$L)</f>
        <v>709</v>
      </c>
      <c r="AW36" s="191">
        <f>SUMIF(WMS용마재고!$A:$A,"S155-02.25", WMS용마재고!$L:$L)</f>
        <v>540</v>
      </c>
      <c r="AX36" s="191">
        <f>SUMIF(WMS용마재고!$A:$A,"S155-02.50", WMS용마재고!$L:$L)</f>
        <v>364</v>
      </c>
      <c r="AY36" s="191">
        <f>SUMIF(WMS용마재고!$A:$A,"S155-02.75", WMS용마재고!$L:$L)</f>
        <v>645</v>
      </c>
      <c r="AZ36" s="191">
        <f>SUMIF(WMS용마재고!$A:$A,"S155-03.00", WMS용마재고!$L:$L)</f>
        <v>519</v>
      </c>
      <c r="BA36" s="191">
        <f>SUMIF(WMS용마재고!$A:$A,"S155-03.25", WMS용마재고!$L:$L)</f>
        <v>323</v>
      </c>
      <c r="BB36" s="191">
        <f>SUMIF(WMS용마재고!$A:$A,"S155-03.50", WMS용마재고!$L:$L)</f>
        <v>688</v>
      </c>
      <c r="BC36" s="191">
        <f>SUMIF(WMS용마재고!$A:$A,"S155-03.75", WMS용마재고!$L:$L)</f>
        <v>784</v>
      </c>
      <c r="BD36" s="191">
        <f>SUMIF(WMS용마재고!$A:$A,"S155-04.00", WMS용마재고!$L:$L)</f>
        <v>583</v>
      </c>
      <c r="BE36" s="191">
        <f>SUMIF(WMS용마재고!$A:$A,"S155-04.25", WMS용마재고!$L:$L)</f>
        <v>370</v>
      </c>
      <c r="BF36" s="191">
        <f>SUMIF(WMS용마재고!$A:$A,"S155-04.50", WMS용마재고!$L:$L)</f>
        <v>378</v>
      </c>
      <c r="BG36" s="191">
        <f>SUMIF(WMS용마재고!$A:$A,"S155-04.75", WMS용마재고!$L:$L)</f>
        <v>532</v>
      </c>
      <c r="BH36" s="191">
        <f>SUMIF(WMS용마재고!$A:$A,"S155-05.00", WMS용마재고!$L:$L)</f>
        <v>557</v>
      </c>
      <c r="BI36" s="191">
        <f>SUMIF(WMS용마재고!$A:$A,"S155-05.25", WMS용마재고!$L:$L)</f>
        <v>218</v>
      </c>
      <c r="BJ36" s="191">
        <f>SUMIF(WMS용마재고!$A:$A,"S155-05.50", WMS용마재고!$L:$L)</f>
        <v>506</v>
      </c>
      <c r="BK36" s="191">
        <f>SUMIF(WMS용마재고!$A:$A,"S155-05.75", WMS용마재고!$L:$L)</f>
        <v>101</v>
      </c>
      <c r="BL36" s="191">
        <f>SUMIF(WMS용마재고!$A:$A,"S155-06.00", WMS용마재고!$L:$L)</f>
        <v>300</v>
      </c>
      <c r="BM36" s="191">
        <f>SUMIF(WMS용마재고!$A:$A,"S155-06.50", WMS용마재고!$L:$L)</f>
        <v>417</v>
      </c>
      <c r="BN36" s="191">
        <f>SUMIF(WMS용마재고!$A:$A,"S155-07.00", WMS용마재고!$L:$L)</f>
        <v>534</v>
      </c>
      <c r="BO36" s="191">
        <f>SUMIF(WMS용마재고!$A:$A,"S155-07.50", WMS용마재고!$L:$L)</f>
        <v>264</v>
      </c>
      <c r="BP36" s="191">
        <f>SUMIF(WMS용마재고!$A:$A,"S155-08.00", WMS용마재고!$L:$L)</f>
        <v>310</v>
      </c>
      <c r="BQ36" s="191">
        <f>SUMIF(WMS용마재고!$A:$A,"S155-08.50", WMS용마재고!$L:$L)</f>
        <v>311</v>
      </c>
      <c r="BR36" s="191">
        <f>SUMIF(WMS용마재고!$A:$A,"S155-09.00", WMS용마재고!$L:$L)</f>
        <v>291</v>
      </c>
      <c r="BS36" s="191">
        <f>SUMIF(WMS용마재고!$A:$A,"S155-09.50", WMS용마재고!$L:$L)</f>
        <v>83</v>
      </c>
      <c r="BT36" s="191">
        <f>SUMIF(WMS용마재고!$A:$A,"S155-10.00", WMS용마재고!$L:$L)</f>
        <v>183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377</v>
      </c>
      <c r="BZ36" s="192">
        <v>225</v>
      </c>
      <c r="CA36" s="192">
        <v>116</v>
      </c>
      <c r="CB36" s="192">
        <v>179</v>
      </c>
      <c r="CC36" s="192">
        <v>267</v>
      </c>
      <c r="CD36" s="192">
        <v>462</v>
      </c>
      <c r="CE36" s="192">
        <v>432</v>
      </c>
      <c r="CF36" s="192">
        <v>714</v>
      </c>
      <c r="CG36" s="192">
        <v>545</v>
      </c>
      <c r="CH36" s="192">
        <v>369</v>
      </c>
      <c r="CI36" s="192">
        <v>650</v>
      </c>
      <c r="CJ36" s="192">
        <v>524</v>
      </c>
      <c r="CK36" s="192">
        <v>328</v>
      </c>
      <c r="CL36" s="192">
        <v>693</v>
      </c>
      <c r="CM36" s="192">
        <v>789</v>
      </c>
      <c r="CN36" s="192">
        <v>588</v>
      </c>
      <c r="CO36" s="192">
        <v>375</v>
      </c>
      <c r="CP36" s="192">
        <v>383</v>
      </c>
      <c r="CQ36" s="193">
        <v>537</v>
      </c>
      <c r="CR36" s="193">
        <v>562</v>
      </c>
      <c r="CS36" s="193">
        <v>223</v>
      </c>
      <c r="CT36" s="193">
        <v>511</v>
      </c>
      <c r="CU36" s="193">
        <v>106</v>
      </c>
      <c r="CV36" s="193">
        <v>305</v>
      </c>
      <c r="CW36" s="193">
        <v>422</v>
      </c>
      <c r="CX36" s="193">
        <v>539</v>
      </c>
      <c r="CY36" s="193">
        <v>264</v>
      </c>
      <c r="CZ36" s="193">
        <v>310</v>
      </c>
      <c r="DA36" s="193">
        <v>311</v>
      </c>
      <c r="DB36" s="193">
        <v>291</v>
      </c>
      <c r="DC36" s="193">
        <v>83</v>
      </c>
      <c r="DD36" s="193">
        <v>183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320</v>
      </c>
      <c r="D37" s="159">
        <f>SUMIF(WMS용마재고!$A:$A,"S173-00.50", WMS용마재고!$L:$L)</f>
        <v>488</v>
      </c>
      <c r="E37" s="159">
        <f>SUMIF(WMS용마재고!$A:$A,"S173-00.75", WMS용마재고!$L:$L)</f>
        <v>259</v>
      </c>
      <c r="F37" s="159">
        <f>SUMIF(WMS용마재고!$A:$A,"S173-01.00", WMS용마재고!$L:$L)</f>
        <v>259</v>
      </c>
      <c r="G37" s="159">
        <f>SUMIF(WMS용마재고!$A:$A,"S173-01.25", WMS용마재고!$L:$L)</f>
        <v>421</v>
      </c>
      <c r="H37" s="159">
        <f>SUMIF(WMS용마재고!$A:$A,"S173-01.50", WMS용마재고!$L:$L)</f>
        <v>456</v>
      </c>
      <c r="I37" s="159">
        <f>SUMIF(WMS용마재고!$A:$A,"S173-01.75", WMS용마재고!$L:$L)</f>
        <v>335</v>
      </c>
      <c r="J37" s="159">
        <f>SUMIF(WMS용마재고!$A:$A,"S173-02.00", WMS용마재고!$L:$L)</f>
        <v>491</v>
      </c>
      <c r="K37" s="159">
        <f>SUMIF(WMS용마재고!$A:$A,"S173-02.25", WMS용마재고!$L:$L)</f>
        <v>321</v>
      </c>
      <c r="L37" s="159">
        <f>SUMIF(WMS용마재고!$A:$A,"S173-02.50", WMS용마재고!$L:$L)</f>
        <v>557</v>
      </c>
      <c r="M37" s="159">
        <f>SUMIF(WMS용마재고!$A:$A,"S173-02.75", WMS용마재고!$L:$L)</f>
        <v>363</v>
      </c>
      <c r="N37" s="159">
        <f>SUMIF(WMS용마재고!$A:$A,"S173-03.00", WMS용마재고!$L:$L)</f>
        <v>742</v>
      </c>
      <c r="O37" s="159">
        <f>SUMIF(WMS용마재고!$A:$A,"S173-03.25", WMS용마재고!$L:$L)</f>
        <v>591</v>
      </c>
      <c r="P37" s="159">
        <f>SUMIF(WMS용마재고!$A:$A,"S173-03.50", WMS용마재고!$L:$L)</f>
        <v>271</v>
      </c>
      <c r="Q37" s="159">
        <f>SUMIF(WMS용마재고!$A:$A,"S173-03.75", WMS용마재고!$L:$L)</f>
        <v>359</v>
      </c>
      <c r="R37" s="159">
        <f>SUMIF(WMS용마재고!$A:$A,"S173-04.00", WMS용마재고!$L:$L)</f>
        <v>96</v>
      </c>
      <c r="S37" s="159">
        <f>SUMIF(WMS용마재고!$A:$A,"S173-04.25", WMS용마재고!$L:$L)</f>
        <v>335</v>
      </c>
      <c r="T37" s="159">
        <f>SUMIF(WMS용마재고!$A:$A,"S173-04.50", WMS용마재고!$L:$L)</f>
        <v>436</v>
      </c>
      <c r="U37" s="159">
        <f>SUMIF(WMS용마재고!$A:$A,"S173-04.75", WMS용마재고!$L:$L)</f>
        <v>350</v>
      </c>
      <c r="V37" s="159">
        <f>SUMIF(WMS용마재고!$A:$A,"S173-05.00", WMS용마재고!$L:$L)</f>
        <v>288</v>
      </c>
      <c r="W37" s="159">
        <f>SUMIF(WMS용마재고!$A:$A,"S173-05.25", WMS용마재고!$L:$L)</f>
        <v>183</v>
      </c>
      <c r="X37" s="159">
        <f>SUMIF(WMS용마재고!$A:$A,"S173-05.50", WMS용마재고!$L:$L)</f>
        <v>480</v>
      </c>
      <c r="Y37" s="159">
        <f>SUMIF(WMS용마재고!$A:$A,"S173-05.75", WMS용마재고!$L:$L)</f>
        <v>226</v>
      </c>
      <c r="Z37" s="159">
        <f>SUMIF(WMS용마재고!$A:$A,"S173-06.00", WMS용마재고!$L:$L)</f>
        <v>281</v>
      </c>
      <c r="AA37" s="159">
        <f>SUMIF(WMS용마재고!$A:$A,"S173-06.50", WMS용마재고!$L:$L)</f>
        <v>385</v>
      </c>
      <c r="AB37" s="159">
        <f>SUMIF(WMS용마재고!$A:$A,"S173-07.00", WMS용마재고!$L:$L)</f>
        <v>230</v>
      </c>
      <c r="AC37" s="159">
        <f>SUMIF(WMS용마재고!$A:$A,"S173-07.50", WMS용마재고!$L:$L)</f>
        <v>200</v>
      </c>
      <c r="AD37" s="159">
        <f>SUMIF(WMS용마재고!$A:$A,"S173-08.00", WMS용마재고!$L:$L)</f>
        <v>267</v>
      </c>
      <c r="AE37" s="159">
        <f>SUMIF(WMS용마재고!$A:$A,"S173-08.50", WMS용마재고!$L:$L)</f>
        <v>73</v>
      </c>
      <c r="AF37" s="159">
        <f>SUMIF(WMS용마재고!$A:$A,"S173-09.00", WMS용마재고!$L:$L)</f>
        <v>71</v>
      </c>
      <c r="AG37" s="159">
        <f>SUMIF(WMS용마재고!$A:$A,"S173-09.50", WMS용마재고!$L:$L)</f>
        <v>111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320</v>
      </c>
      <c r="AP37" s="338">
        <f>SUMIF(WMS용마재고!$A:$A,"S173-00.50", WMS용마재고!$L:$L)</f>
        <v>488</v>
      </c>
      <c r="AQ37" s="338">
        <f>SUMIF(WMS용마재고!$A:$A,"S173-00.75", WMS용마재고!$L:$L)</f>
        <v>259</v>
      </c>
      <c r="AR37" s="338">
        <f>SUMIF(WMS용마재고!$A:$A,"S173-01.00", WMS용마재고!$L:$L)</f>
        <v>259</v>
      </c>
      <c r="AS37" s="338">
        <f>SUMIF(WMS용마재고!$A:$A,"S173-01.25", WMS용마재고!$L:$L)</f>
        <v>421</v>
      </c>
      <c r="AT37" s="338">
        <f>SUMIF(WMS용마재고!$A:$A,"S173-01.50", WMS용마재고!$L:$L)</f>
        <v>456</v>
      </c>
      <c r="AU37" s="338">
        <f>SUMIF(WMS용마재고!$A:$A,"S173-01.75", WMS용마재고!$L:$L)</f>
        <v>335</v>
      </c>
      <c r="AV37" s="338">
        <f>SUMIF(WMS용마재고!$A:$A,"S173-02.00", WMS용마재고!$L:$L)</f>
        <v>491</v>
      </c>
      <c r="AW37" s="338">
        <f>SUMIF(WMS용마재고!$A:$A,"S173-02.25", WMS용마재고!$L:$L)</f>
        <v>321</v>
      </c>
      <c r="AX37" s="338">
        <f>SUMIF(WMS용마재고!$A:$A,"S173-02.50", WMS용마재고!$L:$L)</f>
        <v>557</v>
      </c>
      <c r="AY37" s="338">
        <f>SUMIF(WMS용마재고!$A:$A,"S173-02.75", WMS용마재고!$L:$L)</f>
        <v>363</v>
      </c>
      <c r="AZ37" s="338">
        <f>SUMIF(WMS용마재고!$A:$A,"S173-03.00", WMS용마재고!$L:$L)</f>
        <v>742</v>
      </c>
      <c r="BA37" s="338">
        <f>SUMIF(WMS용마재고!$A:$A,"S173-03.25", WMS용마재고!$L:$L)</f>
        <v>591</v>
      </c>
      <c r="BB37" s="338">
        <f>SUMIF(WMS용마재고!$A:$A,"S173-03.50", WMS용마재고!$L:$L)</f>
        <v>271</v>
      </c>
      <c r="BC37" s="338">
        <f>SUMIF(WMS용마재고!$A:$A,"S173-03.75", WMS용마재고!$L:$L)</f>
        <v>359</v>
      </c>
      <c r="BD37" s="338">
        <f>SUMIF(WMS용마재고!$A:$A,"S173-04.00", WMS용마재고!$L:$L)</f>
        <v>96</v>
      </c>
      <c r="BE37" s="338">
        <f>SUMIF(WMS용마재고!$A:$A,"S173-04.25", WMS용마재고!$L:$L)</f>
        <v>335</v>
      </c>
      <c r="BF37" s="338">
        <f>SUMIF(WMS용마재고!$A:$A,"S173-04.50", WMS용마재고!$L:$L)</f>
        <v>436</v>
      </c>
      <c r="BG37" s="338">
        <f>SUMIF(WMS용마재고!$A:$A,"S173-04.75", WMS용마재고!$L:$L)</f>
        <v>350</v>
      </c>
      <c r="BH37" s="338">
        <f>SUMIF(WMS용마재고!$A:$A,"S173-05.00", WMS용마재고!$L:$L)</f>
        <v>288</v>
      </c>
      <c r="BI37" s="338">
        <f>SUMIF(WMS용마재고!$A:$A,"S173-05.25", WMS용마재고!$L:$L)</f>
        <v>183</v>
      </c>
      <c r="BJ37" s="338">
        <f>SUMIF(WMS용마재고!$A:$A,"S173-05.50", WMS용마재고!$L:$L)</f>
        <v>480</v>
      </c>
      <c r="BK37" s="338">
        <f>SUMIF(WMS용마재고!$A:$A,"S173-05.75", WMS용마재고!$L:$L)</f>
        <v>226</v>
      </c>
      <c r="BL37" s="338">
        <f>SUMIF(WMS용마재고!$A:$A,"S173-06.00", WMS용마재고!$L:$L)</f>
        <v>281</v>
      </c>
      <c r="BM37" s="338">
        <f>SUMIF(WMS용마재고!$A:$A,"S173-06.50", WMS용마재고!$L:$L)</f>
        <v>385</v>
      </c>
      <c r="BN37" s="338">
        <f>SUMIF(WMS용마재고!$A:$A,"S173-07.00", WMS용마재고!$L:$L)</f>
        <v>230</v>
      </c>
      <c r="BO37" s="338">
        <f>SUMIF(WMS용마재고!$A:$A,"S173-07.50", WMS용마재고!$L:$L)</f>
        <v>200</v>
      </c>
      <c r="BP37" s="338">
        <f>SUMIF(WMS용마재고!$A:$A,"S173-08.00", WMS용마재고!$L:$L)</f>
        <v>267</v>
      </c>
      <c r="BQ37" s="338">
        <f>SUMIF(WMS용마재고!$A:$A,"S173-08.50", WMS용마재고!$L:$L)</f>
        <v>73</v>
      </c>
      <c r="BR37" s="338">
        <f>SUMIF(WMS용마재고!$A:$A,"S173-09.00", WMS용마재고!$L:$L)</f>
        <v>71</v>
      </c>
      <c r="BS37" s="338">
        <f>SUMIF(WMS용마재고!$A:$A,"S173-09.50", WMS용마재고!$L:$L)</f>
        <v>111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320</v>
      </c>
      <c r="BZ37" s="192">
        <v>488</v>
      </c>
      <c r="CA37" s="192">
        <v>259</v>
      </c>
      <c r="CB37" s="192">
        <v>259</v>
      </c>
      <c r="CC37" s="192">
        <v>421</v>
      </c>
      <c r="CD37" s="192">
        <v>456</v>
      </c>
      <c r="CE37" s="192">
        <v>335</v>
      </c>
      <c r="CF37" s="192">
        <v>491</v>
      </c>
      <c r="CG37" s="192">
        <v>321</v>
      </c>
      <c r="CH37" s="192">
        <v>557</v>
      </c>
      <c r="CI37" s="192">
        <v>363</v>
      </c>
      <c r="CJ37" s="192">
        <v>742</v>
      </c>
      <c r="CK37" s="192">
        <v>591</v>
      </c>
      <c r="CL37" s="192">
        <v>271</v>
      </c>
      <c r="CM37" s="192">
        <v>359</v>
      </c>
      <c r="CN37" s="192">
        <v>96</v>
      </c>
      <c r="CO37" s="192">
        <v>335</v>
      </c>
      <c r="CP37" s="192">
        <v>436</v>
      </c>
      <c r="CQ37" s="193">
        <v>350</v>
      </c>
      <c r="CR37" s="193">
        <v>288</v>
      </c>
      <c r="CS37" s="193">
        <v>183</v>
      </c>
      <c r="CT37" s="193">
        <v>480</v>
      </c>
      <c r="CU37" s="193">
        <v>226</v>
      </c>
      <c r="CV37" s="193">
        <v>281</v>
      </c>
      <c r="CW37" s="193">
        <v>385</v>
      </c>
      <c r="CX37" s="193">
        <v>230</v>
      </c>
      <c r="CY37" s="193">
        <v>200</v>
      </c>
      <c r="CZ37" s="193">
        <v>267</v>
      </c>
      <c r="DA37" s="193">
        <v>73</v>
      </c>
      <c r="DB37" s="193">
        <v>71</v>
      </c>
      <c r="DC37" s="193">
        <v>111</v>
      </c>
      <c r="DD37" s="193">
        <v>83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2" t="s">
        <v>3413</v>
      </c>
      <c r="B38" s="542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3" t="s">
        <v>4959</v>
      </c>
      <c r="B39" s="544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1053</v>
      </c>
      <c r="D40" s="164">
        <f>SUMIF(WMS용마재고!$A:$A,"S615-00.50", WMS용마재고!$L:$L)</f>
        <v>312</v>
      </c>
      <c r="E40" s="164">
        <f>SUMIF(WMS용마재고!$A:$A,"S615-00.75", WMS용마재고!$L:$L)</f>
        <v>323</v>
      </c>
      <c r="F40" s="164">
        <f>SUMIF(WMS용마재고!$A:$A,"S615-01.00", WMS용마재고!$L:$L)</f>
        <v>235</v>
      </c>
      <c r="G40" s="164">
        <f>SUMIF(WMS용마재고!$A:$A,"S615-01.25", WMS용마재고!$L:$L)</f>
        <v>499</v>
      </c>
      <c r="H40" s="164">
        <f>SUMIF(WMS용마재고!$A:$A,"S615-01.50", WMS용마재고!$L:$L)</f>
        <v>461</v>
      </c>
      <c r="I40" s="164">
        <f>SUMIF(WMS용마재고!$A:$A,"S615-01.75", WMS용마재고!$L:$L)</f>
        <v>608</v>
      </c>
      <c r="J40" s="164">
        <f>SUMIF(WMS용마재고!$A:$A,"S615-02.00", WMS용마재고!$L:$L)</f>
        <v>241</v>
      </c>
      <c r="K40" s="164">
        <f>SUMIF(WMS용마재고!$A:$A,"S615-02.25", WMS용마재고!$L:$L)</f>
        <v>447</v>
      </c>
      <c r="L40" s="164">
        <f>SUMIF(WMS용마재고!$A:$A,"S615-02.50", WMS용마재고!$L:$L)</f>
        <v>450</v>
      </c>
      <c r="M40" s="164">
        <f>SUMIF(WMS용마재고!$A:$A,"S615-02.75", WMS용마재고!$L:$L)</f>
        <v>497</v>
      </c>
      <c r="N40" s="164">
        <f>SUMIF(WMS용마재고!$A:$A,"S615-03.00", WMS용마재고!$L:$L)</f>
        <v>453</v>
      </c>
      <c r="O40" s="164">
        <f>SUMIF(WMS용마재고!$A:$A,"S615-03.25", WMS용마재고!$L:$L)</f>
        <v>434</v>
      </c>
      <c r="P40" s="164">
        <f>SUMIF(WMS용마재고!$A:$A,"S615-03.50", WMS용마재고!$L:$L)</f>
        <v>395</v>
      </c>
      <c r="Q40" s="164">
        <f>SUMIF(WMS용마재고!$A:$A,"S615-03.75", WMS용마재고!$L:$L)</f>
        <v>416</v>
      </c>
      <c r="R40" s="164">
        <f>SUMIF(WMS용마재고!$A:$A,"S615-04.00", WMS용마재고!$L:$L)</f>
        <v>360</v>
      </c>
      <c r="S40" s="164">
        <f>SUMIF(WMS용마재고!$A:$A,"S615-04.25", WMS용마재고!$L:$L)</f>
        <v>844</v>
      </c>
      <c r="T40" s="164">
        <f>SUMIF(WMS용마재고!$A:$A,"S615-04.50", WMS용마재고!$L:$L)</f>
        <v>330</v>
      </c>
      <c r="U40" s="164">
        <f>SUMIF(WMS용마재고!$A:$A,"S615-04.75", WMS용마재고!$L:$L)</f>
        <v>443</v>
      </c>
      <c r="V40" s="167">
        <f>SUMIF(WMS용마재고!$A:$A,"S615-05.00", WMS용마재고!$L:$L)</f>
        <v>466</v>
      </c>
      <c r="W40" s="162"/>
      <c r="X40" s="167">
        <f>SUMIF(WMS용마재고!$A:$A,"S615-05.50", WMS용마재고!$L:$L)</f>
        <v>783</v>
      </c>
      <c r="Y40" s="162"/>
      <c r="Z40" s="164">
        <f>SUMIF(WMS용마재고!$A:$A,"S615-06.00", WMS용마재고!$L:$L)</f>
        <v>457</v>
      </c>
      <c r="AA40" s="164">
        <f>SUMIF(WMS용마재고!$A:$A,"S615-06.50", WMS용마재고!$L:$L)</f>
        <v>242</v>
      </c>
      <c r="AB40" s="164">
        <f>SUMIF(WMS용마재고!$A:$A,"S615-07.00", WMS용마재고!$L:$L)</f>
        <v>114</v>
      </c>
      <c r="AC40" s="164">
        <f>SUMIF(WMS용마재고!$A:$A,"S615-07.50", WMS용마재고!$L:$L)</f>
        <v>464</v>
      </c>
      <c r="AD40" s="164">
        <f>SUMIF(WMS용마재고!$A:$A,"S615-08.00", WMS용마재고!$L:$L)</f>
        <v>391</v>
      </c>
      <c r="AE40" s="164">
        <f>SUMIF(WMS용마재고!$A:$A,"S615-08.50", WMS용마재고!$L:$L)</f>
        <v>211</v>
      </c>
      <c r="AF40" s="164">
        <f>SUMIF(WMS용마재고!$A:$A,"S615-09.00", WMS용마재고!$L:$L)</f>
        <v>190</v>
      </c>
      <c r="AG40" s="164">
        <f>SUMIF(WMS용마재고!$A:$A,"S615-09.50", WMS용마재고!$L:$L)</f>
        <v>403</v>
      </c>
      <c r="AH40" s="167">
        <f>SUMIF(WMS용마재고!$A:$A,"S615-10.00", WMS용마재고!$L:$L)</f>
        <v>201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1053</v>
      </c>
      <c r="AP40" s="336">
        <f>SUMIF(WMS용마재고!$A:$A,"S615-00.50", WMS용마재고!$L:$L)</f>
        <v>312</v>
      </c>
      <c r="AQ40" s="336">
        <f>SUMIF(WMS용마재고!$A:$A,"S615-00.75", WMS용마재고!$L:$L)</f>
        <v>323</v>
      </c>
      <c r="AR40" s="336">
        <f>SUMIF(WMS용마재고!$A:$A,"S615-01.00", WMS용마재고!$L:$L)</f>
        <v>235</v>
      </c>
      <c r="AS40" s="336">
        <f>SUMIF(WMS용마재고!$A:$A,"S615-01.25", WMS용마재고!$L:$L)</f>
        <v>499</v>
      </c>
      <c r="AT40" s="336">
        <f>SUMIF(WMS용마재고!$A:$A,"S615-01.50", WMS용마재고!$L:$L)</f>
        <v>461</v>
      </c>
      <c r="AU40" s="336">
        <f>SUMIF(WMS용마재고!$A:$A,"S615-01.75", WMS용마재고!$L:$L)</f>
        <v>608</v>
      </c>
      <c r="AV40" s="336">
        <f>SUMIF(WMS용마재고!$A:$A,"S615-02.00", WMS용마재고!$L:$L)</f>
        <v>241</v>
      </c>
      <c r="AW40" s="336">
        <f>SUMIF(WMS용마재고!$A:$A,"S615-02.25", WMS용마재고!$L:$L)</f>
        <v>447</v>
      </c>
      <c r="AX40" s="336">
        <f>SUMIF(WMS용마재고!$A:$A,"S615-02.50", WMS용마재고!$L:$L)</f>
        <v>450</v>
      </c>
      <c r="AY40" s="336">
        <f>SUMIF(WMS용마재고!$A:$A,"S615-02.75", WMS용마재고!$L:$L)</f>
        <v>497</v>
      </c>
      <c r="AZ40" s="336">
        <f>SUMIF(WMS용마재고!$A:$A,"S615-03.00", WMS용마재고!$L:$L)</f>
        <v>453</v>
      </c>
      <c r="BA40" s="336">
        <f>SUMIF(WMS용마재고!$A:$A,"S615-03.25", WMS용마재고!$L:$L)</f>
        <v>434</v>
      </c>
      <c r="BB40" s="336">
        <f>SUMIF(WMS용마재고!$A:$A,"S615-03.50", WMS용마재고!$L:$L)</f>
        <v>395</v>
      </c>
      <c r="BC40" s="336">
        <f>SUMIF(WMS용마재고!$A:$A,"S615-03.75", WMS용마재고!$L:$L)</f>
        <v>416</v>
      </c>
      <c r="BD40" s="336">
        <f>SUMIF(WMS용마재고!$A:$A,"S615-04.00", WMS용마재고!$L:$L)</f>
        <v>360</v>
      </c>
      <c r="BE40" s="336">
        <f>SUMIF(WMS용마재고!$A:$A,"S615-04.25", WMS용마재고!$L:$L)</f>
        <v>844</v>
      </c>
      <c r="BF40" s="336">
        <f>SUMIF(WMS용마재고!$A:$A,"S615-04.50", WMS용마재고!$L:$L)</f>
        <v>330</v>
      </c>
      <c r="BG40" s="336">
        <f>SUMIF(WMS용마재고!$A:$A,"S615-04.75", WMS용마재고!$L:$L)</f>
        <v>443</v>
      </c>
      <c r="BH40" s="336">
        <f>SUMIF(WMS용마재고!$A:$A,"S615-05.00", WMS용마재고!$L:$L)</f>
        <v>466</v>
      </c>
      <c r="BI40" s="336">
        <f>SUMIF(WMS용마재고!$A:$A,"S615-05.25", WMS용마재고!$L:$L)</f>
        <v>0</v>
      </c>
      <c r="BJ40" s="336">
        <f>SUMIF(WMS용마재고!$A:$A,"S615-05.50", WMS용마재고!$L:$L)</f>
        <v>783</v>
      </c>
      <c r="BK40" s="336">
        <f>SUMIF(WMS용마재고!$A:$A,"S615-05.75", WMS용마재고!$L:$L)</f>
        <v>0</v>
      </c>
      <c r="BL40" s="336">
        <f>SUMIF(WMS용마재고!$A:$A,"S615-06.00", WMS용마재고!$L:$L)</f>
        <v>457</v>
      </c>
      <c r="BM40" s="336">
        <f>SUMIF(WMS용마재고!$A:$A,"S615-06.50", WMS용마재고!$L:$L)</f>
        <v>242</v>
      </c>
      <c r="BN40" s="336">
        <f>SUMIF(WMS용마재고!$A:$A,"S615-07.00", WMS용마재고!$L:$L)</f>
        <v>114</v>
      </c>
      <c r="BO40" s="336">
        <f>SUMIF(WMS용마재고!$A:$A,"S615-07.50", WMS용마재고!$L:$L)</f>
        <v>464</v>
      </c>
      <c r="BP40" s="336">
        <f>SUMIF(WMS용마재고!$A:$A,"S615-08.00", WMS용마재고!$L:$L)</f>
        <v>391</v>
      </c>
      <c r="BQ40" s="336">
        <f>SUMIF(WMS용마재고!$A:$A,"S615-08.50", WMS용마재고!$L:$L)</f>
        <v>211</v>
      </c>
      <c r="BR40" s="336">
        <f>SUMIF(WMS용마재고!$A:$A,"S615-09.00", WMS용마재고!$L:$L)</f>
        <v>190</v>
      </c>
      <c r="BS40" s="336">
        <f>SUMIF(WMS용마재고!$A:$A,"S615-09.50", WMS용마재고!$L:$L)</f>
        <v>403</v>
      </c>
      <c r="BT40" s="336">
        <f>SUMIF(WMS용마재고!$A:$A,"S615-10.00", WMS용마재고!$L:$L)</f>
        <v>201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1053</v>
      </c>
      <c r="BZ40" s="192">
        <v>312</v>
      </c>
      <c r="CA40" s="192">
        <v>323</v>
      </c>
      <c r="CB40" s="192">
        <v>235</v>
      </c>
      <c r="CC40" s="192">
        <v>499</v>
      </c>
      <c r="CD40" s="192">
        <v>461</v>
      </c>
      <c r="CE40" s="192">
        <v>608</v>
      </c>
      <c r="CF40" s="192">
        <v>241</v>
      </c>
      <c r="CG40" s="192">
        <v>447</v>
      </c>
      <c r="CH40" s="192">
        <v>450</v>
      </c>
      <c r="CI40" s="192">
        <v>497</v>
      </c>
      <c r="CJ40" s="192">
        <v>453</v>
      </c>
      <c r="CK40" s="192">
        <v>434</v>
      </c>
      <c r="CL40" s="192">
        <v>395</v>
      </c>
      <c r="CM40" s="192">
        <v>416</v>
      </c>
      <c r="CN40" s="192">
        <v>360</v>
      </c>
      <c r="CO40" s="192">
        <v>844</v>
      </c>
      <c r="CP40" s="192">
        <v>330</v>
      </c>
      <c r="CQ40" s="193">
        <v>443</v>
      </c>
      <c r="CR40" s="193">
        <v>466</v>
      </c>
      <c r="CS40" s="193">
        <v>0</v>
      </c>
      <c r="CT40" s="193">
        <v>783</v>
      </c>
      <c r="CU40" s="193">
        <v>0</v>
      </c>
      <c r="CV40" s="193">
        <v>457</v>
      </c>
      <c r="CW40" s="193">
        <v>242</v>
      </c>
      <c r="CX40" s="193">
        <v>114</v>
      </c>
      <c r="CY40" s="193">
        <v>464</v>
      </c>
      <c r="CZ40" s="193">
        <v>391</v>
      </c>
      <c r="DA40" s="193">
        <v>211</v>
      </c>
      <c r="DB40" s="193">
        <v>190</v>
      </c>
      <c r="DC40" s="193">
        <v>403</v>
      </c>
      <c r="DD40" s="193">
        <v>201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258</v>
      </c>
      <c r="D41" s="164">
        <f>SUMIF(WMS용마재고!$A:$A,"S617-00.50", WMS용마재고!$L:$L)</f>
        <v>456</v>
      </c>
      <c r="E41" s="164">
        <f>SUMIF(WMS용마재고!$A:$A,"S617-00.75", WMS용마재고!$L:$L)</f>
        <v>622</v>
      </c>
      <c r="F41" s="164">
        <f>SUMIF(WMS용마재고!$A:$A,"S617-01.00", WMS용마재고!$L:$L)</f>
        <v>373</v>
      </c>
      <c r="G41" s="164">
        <f>SUMIF(WMS용마재고!$A:$A,"S617-01.25", WMS용마재고!$L:$L)</f>
        <v>428</v>
      </c>
      <c r="H41" s="164">
        <f>SUMIF(WMS용마재고!$A:$A,"S617-01.50", WMS용마재고!$L:$L)</f>
        <v>97</v>
      </c>
      <c r="I41" s="164">
        <f>SUMIF(WMS용마재고!$A:$A,"S617-01.75", WMS용마재고!$L:$L)</f>
        <v>242</v>
      </c>
      <c r="J41" s="164">
        <f>SUMIF(WMS용마재고!$A:$A,"S617-02.00", WMS용마재고!$L:$L)</f>
        <v>264</v>
      </c>
      <c r="K41" s="164">
        <f>SUMIF(WMS용마재고!$A:$A,"S617-02.25", WMS용마재고!$L:$L)</f>
        <v>307</v>
      </c>
      <c r="L41" s="164">
        <f>SUMIF(WMS용마재고!$A:$A,"S617-02.50", WMS용마재고!$L:$L)</f>
        <v>303</v>
      </c>
      <c r="M41" s="164">
        <f>SUMIF(WMS용마재고!$A:$A,"S617-02.75", WMS용마재고!$L:$L)</f>
        <v>327</v>
      </c>
      <c r="N41" s="164">
        <f>SUMIF(WMS용마재고!$A:$A,"S617-03.00", WMS용마재고!$L:$L)</f>
        <v>403</v>
      </c>
      <c r="O41" s="164">
        <f>SUMIF(WMS용마재고!$A:$A,"S617-03.25", WMS용마재고!$L:$L)</f>
        <v>85</v>
      </c>
      <c r="P41" s="164">
        <f>SUMIF(WMS용마재고!$A:$A,"S617-03.50", WMS용마재고!$L:$L)</f>
        <v>224</v>
      </c>
      <c r="Q41" s="164">
        <f>SUMIF(WMS용마재고!$A:$A,"S617-03.75", WMS용마재고!$L:$L)</f>
        <v>363</v>
      </c>
      <c r="R41" s="164">
        <f>SUMIF(WMS용마재고!$A:$A,"S617-04.00", WMS용마재고!$L:$L)</f>
        <v>254</v>
      </c>
      <c r="S41" s="164">
        <f>SUMIF(WMS용마재고!$A:$A,"S617-04.25", WMS용마재고!$L:$L)</f>
        <v>437</v>
      </c>
      <c r="T41" s="164">
        <f>SUMIF(WMS용마재고!$A:$A,"S617-04.50", WMS용마재고!$L:$L)</f>
        <v>294</v>
      </c>
      <c r="U41" s="164">
        <f>SUMIF(WMS용마재고!$A:$A,"S617-04.75", WMS용마재고!$L:$L)</f>
        <v>418</v>
      </c>
      <c r="V41" s="167">
        <f>SUMIF(WMS용마재고!$A:$A,"S617-05.00", WMS용마재고!$L:$L)</f>
        <v>412</v>
      </c>
      <c r="W41" s="162"/>
      <c r="X41" s="167">
        <f>SUMIF(WMS용마재고!$A:$A,"S617-05.50", WMS용마재고!$L:$L)</f>
        <v>400</v>
      </c>
      <c r="Y41" s="162"/>
      <c r="Z41" s="164">
        <f>SUMIF(WMS용마재고!$A:$A,"S617-06.00", WMS용마재고!$L:$L)</f>
        <v>606</v>
      </c>
      <c r="AA41" s="164">
        <f>SUMIF(WMS용마재고!$A:$A,"S617-06.50", WMS용마재고!$L:$L)</f>
        <v>399</v>
      </c>
      <c r="AB41" s="164">
        <f>SUMIF(WMS용마재고!$A:$A,"S617-07.00", WMS용마재고!$L:$L)</f>
        <v>1077</v>
      </c>
      <c r="AC41" s="164">
        <f>SUMIF(WMS용마재고!$A:$A,"S617-07.50", WMS용마재고!$L:$L)</f>
        <v>2695</v>
      </c>
      <c r="AD41" s="164">
        <f>SUMIF(WMS용마재고!$A:$A,"S617-08.00", WMS용마재고!$L:$L)</f>
        <v>1597</v>
      </c>
      <c r="AE41" s="164">
        <f>SUMIF(WMS용마재고!$A:$A,"S617-08.50", WMS용마재고!$L:$L)</f>
        <v>2228</v>
      </c>
      <c r="AF41" s="164">
        <f>SUMIF(WMS용마재고!$A:$A,"S617-09.00", WMS용마재고!$L:$L)</f>
        <v>2434</v>
      </c>
      <c r="AG41" s="164">
        <f>SUMIF(WMS용마재고!$A:$A,"S617-09.50", WMS용마재고!$L:$L)</f>
        <v>164</v>
      </c>
      <c r="AH41" s="167">
        <f>SUMIF(WMS용마재고!$A:$A,"S617-10.00", WMS용마재고!$L:$L)</f>
        <v>157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258</v>
      </c>
      <c r="AP41" s="191">
        <f>SUMIF(WMS용마재고!$A:$A,"S617-00.50", WMS용마재고!$L:$L)</f>
        <v>456</v>
      </c>
      <c r="AQ41" s="191">
        <f>SUMIF(WMS용마재고!$A:$A,"S617-00.75", WMS용마재고!$L:$L)</f>
        <v>622</v>
      </c>
      <c r="AR41" s="191">
        <f>SUMIF(WMS용마재고!$A:$A,"S617-01.00", WMS용마재고!$L:$L)</f>
        <v>373</v>
      </c>
      <c r="AS41" s="191">
        <f>SUMIF(WMS용마재고!$A:$A,"S617-01.25", WMS용마재고!$L:$L)</f>
        <v>428</v>
      </c>
      <c r="AT41" s="191">
        <f>SUMIF(WMS용마재고!$A:$A,"S617-01.50", WMS용마재고!$L:$L)</f>
        <v>97</v>
      </c>
      <c r="AU41" s="191">
        <f>SUMIF(WMS용마재고!$A:$A,"S617-01.75", WMS용마재고!$L:$L)</f>
        <v>242</v>
      </c>
      <c r="AV41" s="191">
        <f>SUMIF(WMS용마재고!$A:$A,"S617-02.00", WMS용마재고!$L:$L)</f>
        <v>264</v>
      </c>
      <c r="AW41" s="191">
        <f>SUMIF(WMS용마재고!$A:$A,"S617-02.25", WMS용마재고!$L:$L)</f>
        <v>307</v>
      </c>
      <c r="AX41" s="191">
        <f>SUMIF(WMS용마재고!$A:$A,"S617-02.50", WMS용마재고!$L:$L)</f>
        <v>303</v>
      </c>
      <c r="AY41" s="191">
        <f>SUMIF(WMS용마재고!$A:$A,"S617-02.75", WMS용마재고!$L:$L)</f>
        <v>327</v>
      </c>
      <c r="AZ41" s="191">
        <f>SUMIF(WMS용마재고!$A:$A,"S617-03.00", WMS용마재고!$L:$L)</f>
        <v>403</v>
      </c>
      <c r="BA41" s="191">
        <f>SUMIF(WMS용마재고!$A:$A,"S617-03.25", WMS용마재고!$L:$L)</f>
        <v>85</v>
      </c>
      <c r="BB41" s="191">
        <f>SUMIF(WMS용마재고!$A:$A,"S617-03.50", WMS용마재고!$L:$L)</f>
        <v>224</v>
      </c>
      <c r="BC41" s="191">
        <f>SUMIF(WMS용마재고!$A:$A,"S617-03.75", WMS용마재고!$L:$L)</f>
        <v>363</v>
      </c>
      <c r="BD41" s="191">
        <f>SUMIF(WMS용마재고!$A:$A,"S617-04.00", WMS용마재고!$L:$L)</f>
        <v>254</v>
      </c>
      <c r="BE41" s="191">
        <f>SUMIF(WMS용마재고!$A:$A,"S617-04.25", WMS용마재고!$L:$L)</f>
        <v>437</v>
      </c>
      <c r="BF41" s="191">
        <f>SUMIF(WMS용마재고!$A:$A,"S617-04.50", WMS용마재고!$L:$L)</f>
        <v>294</v>
      </c>
      <c r="BG41" s="191">
        <f>SUMIF(WMS용마재고!$A:$A,"S617-04.75", WMS용마재고!$L:$L)</f>
        <v>418</v>
      </c>
      <c r="BH41" s="191">
        <f>SUMIF(WMS용마재고!$A:$A,"S617-05.00", WMS용마재고!$L:$L)</f>
        <v>412</v>
      </c>
      <c r="BI41" s="191">
        <f>SUMIF(WMS용마재고!$A:$A,"S617-05.25", WMS용마재고!$L:$L)</f>
        <v>0</v>
      </c>
      <c r="BJ41" s="191">
        <f>SUMIF(WMS용마재고!$A:$A,"S617-05.50", WMS용마재고!$L:$L)</f>
        <v>400</v>
      </c>
      <c r="BK41" s="191">
        <f>SUMIF(WMS용마재고!$A:$A,"S617-05.75", WMS용마재고!$L:$L)</f>
        <v>0</v>
      </c>
      <c r="BL41" s="191">
        <f>SUMIF(WMS용마재고!$A:$A,"S617-06.00", WMS용마재고!$L:$L)</f>
        <v>606</v>
      </c>
      <c r="BM41" s="191">
        <f>SUMIF(WMS용마재고!$A:$A,"S617-06.50", WMS용마재고!$L:$L)</f>
        <v>399</v>
      </c>
      <c r="BN41" s="191">
        <f>SUMIF(WMS용마재고!$A:$A,"S617-07.00", WMS용마재고!$L:$L)</f>
        <v>1077</v>
      </c>
      <c r="BO41" s="191">
        <f>SUMIF(WMS용마재고!$A:$A,"S617-07.50", WMS용마재고!$L:$L)</f>
        <v>2695</v>
      </c>
      <c r="BP41" s="191">
        <f>SUMIF(WMS용마재고!$A:$A,"S617-08.00", WMS용마재고!$L:$L)</f>
        <v>1597</v>
      </c>
      <c r="BQ41" s="191">
        <f>SUMIF(WMS용마재고!$A:$A,"S617-08.50", WMS용마재고!$L:$L)</f>
        <v>2228</v>
      </c>
      <c r="BR41" s="191">
        <f>SUMIF(WMS용마재고!$A:$A,"S617-09.00", WMS용마재고!$L:$L)</f>
        <v>2434</v>
      </c>
      <c r="BS41" s="191">
        <f>SUMIF(WMS용마재고!$A:$A,"S617-09.50", WMS용마재고!$L:$L)</f>
        <v>164</v>
      </c>
      <c r="BT41" s="191">
        <f>SUMIF(WMS용마재고!$A:$A,"S617-10.00", WMS용마재고!$L:$L)</f>
        <v>157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258</v>
      </c>
      <c r="BZ41" s="192">
        <v>456</v>
      </c>
      <c r="CA41" s="192">
        <v>622</v>
      </c>
      <c r="CB41" s="192">
        <v>373</v>
      </c>
      <c r="CC41" s="192">
        <v>428</v>
      </c>
      <c r="CD41" s="192">
        <v>97</v>
      </c>
      <c r="CE41" s="192">
        <v>242</v>
      </c>
      <c r="CF41" s="192">
        <v>264</v>
      </c>
      <c r="CG41" s="192">
        <v>307</v>
      </c>
      <c r="CH41" s="192">
        <v>303</v>
      </c>
      <c r="CI41" s="192">
        <v>327</v>
      </c>
      <c r="CJ41" s="192">
        <v>403</v>
      </c>
      <c r="CK41" s="192">
        <v>85</v>
      </c>
      <c r="CL41" s="192">
        <v>224</v>
      </c>
      <c r="CM41" s="192">
        <v>363</v>
      </c>
      <c r="CN41" s="192">
        <v>254</v>
      </c>
      <c r="CO41" s="192">
        <v>437</v>
      </c>
      <c r="CP41" s="192">
        <v>294</v>
      </c>
      <c r="CQ41" s="193">
        <v>418</v>
      </c>
      <c r="CR41" s="193">
        <v>412</v>
      </c>
      <c r="CS41" s="193">
        <v>0</v>
      </c>
      <c r="CT41" s="193">
        <v>400</v>
      </c>
      <c r="CU41" s="193">
        <v>0</v>
      </c>
      <c r="CV41" s="193">
        <v>606</v>
      </c>
      <c r="CW41" s="193">
        <v>399</v>
      </c>
      <c r="CX41" s="193">
        <v>1077</v>
      </c>
      <c r="CY41" s="193">
        <v>2695</v>
      </c>
      <c r="CZ41" s="193">
        <v>1597</v>
      </c>
      <c r="DA41" s="193">
        <v>2228</v>
      </c>
      <c r="DB41" s="193">
        <v>2434</v>
      </c>
      <c r="DC41" s="193">
        <v>164</v>
      </c>
      <c r="DD41" s="193">
        <v>157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559</v>
      </c>
      <c r="D42" s="164">
        <f>SUMIF(WMS용마재고!$A:$A,"S619-00.50", WMS용마재고!$L:$L)</f>
        <v>597</v>
      </c>
      <c r="E42" s="164">
        <f>SUMIF(WMS용마재고!$A:$A,"S619-00.75", WMS용마재고!$L:$L)</f>
        <v>1585</v>
      </c>
      <c r="F42" s="164">
        <f>SUMIF(WMS용마재고!$A:$A,"S619-01.00", WMS용마재고!$L:$L)</f>
        <v>309</v>
      </c>
      <c r="G42" s="164">
        <f>SUMIF(WMS용마재고!$A:$A,"S619-01.25", WMS용마재고!$L:$L)</f>
        <v>326</v>
      </c>
      <c r="H42" s="164">
        <f>SUMIF(WMS용마재고!$A:$A,"S619-01.50", WMS용마재고!$L:$L)</f>
        <v>181</v>
      </c>
      <c r="I42" s="164">
        <f>SUMIF(WMS용마재고!$A:$A,"S619-01.75", WMS용마재고!$L:$L)</f>
        <v>38</v>
      </c>
      <c r="J42" s="164">
        <f>SUMIF(WMS용마재고!$A:$A,"S619-02.00", WMS용마재고!$L:$L)</f>
        <v>288</v>
      </c>
      <c r="K42" s="164">
        <f>SUMIF(WMS용마재고!$A:$A,"S619-02.25", WMS용마재고!$L:$L)</f>
        <v>135</v>
      </c>
      <c r="L42" s="164">
        <f>SUMIF(WMS용마재고!$A:$A,"S619-02.50", WMS용마재고!$L:$L)</f>
        <v>253</v>
      </c>
      <c r="M42" s="164">
        <f>SUMIF(WMS용마재고!$A:$A,"S619-02.75", WMS용마재고!$L:$L)</f>
        <v>238</v>
      </c>
      <c r="N42" s="164">
        <f>SUMIF(WMS용마재고!$A:$A,"S619-03.00", WMS용마재고!$L:$L)</f>
        <v>371</v>
      </c>
      <c r="O42" s="164">
        <f>SUMIF(WMS용마재고!$A:$A,"S619-03.25", WMS용마재고!$L:$L)</f>
        <v>488</v>
      </c>
      <c r="P42" s="164">
        <f>SUMIF(WMS용마재고!$A:$A,"S619-03.50", WMS용마재고!$L:$L)</f>
        <v>373</v>
      </c>
      <c r="Q42" s="164">
        <f>SUMIF(WMS용마재고!$A:$A,"S619-03.75", WMS용마재고!$L:$L)</f>
        <v>68</v>
      </c>
      <c r="R42" s="164">
        <f>SUMIF(WMS용마재고!$A:$A,"S619-04.00", WMS용마재고!$L:$L)</f>
        <v>608</v>
      </c>
      <c r="S42" s="164">
        <f>SUMIF(WMS용마재고!$A:$A,"S619-04.25", WMS용마재고!$L:$L)</f>
        <v>1043</v>
      </c>
      <c r="T42" s="164">
        <f>SUMIF(WMS용마재고!$A:$A,"S619-04.50", WMS용마재고!$L:$L)</f>
        <v>484</v>
      </c>
      <c r="U42" s="164">
        <f>SUMIF(WMS용마재고!$A:$A,"S619-04.75", WMS용마재고!$L:$L)</f>
        <v>938</v>
      </c>
      <c r="V42" s="167">
        <f>SUMIF(WMS용마재고!$A:$A,"S619-05.00", WMS용마재고!$L:$L)</f>
        <v>119</v>
      </c>
      <c r="W42" s="162"/>
      <c r="X42" s="167">
        <f>SUMIF(WMS용마재고!$A:$A,"S619-05.50", WMS용마재고!$L:$L)</f>
        <v>77</v>
      </c>
      <c r="Y42" s="162"/>
      <c r="Z42" s="164">
        <f>SUMIF(WMS용마재고!$A:$A,"S619-06.00", WMS용마재고!$L:$L)</f>
        <v>601</v>
      </c>
      <c r="AA42" s="164">
        <f>SUMIF(WMS용마재고!$A:$A,"S619-06.50", WMS용마재고!$L:$L)</f>
        <v>627</v>
      </c>
      <c r="AB42" s="164">
        <f>SUMIF(WMS용마재고!$A:$A,"S619-07.00", WMS용마재고!$L:$L)</f>
        <v>1201</v>
      </c>
      <c r="AC42" s="164">
        <f>SUMIF(WMS용마재고!$A:$A,"S619-07.50", WMS용마재고!$L:$L)</f>
        <v>1475</v>
      </c>
      <c r="AD42" s="164">
        <f>SUMIF(WMS용마재고!$A:$A,"S619-08.00", WMS용마재고!$L:$L)</f>
        <v>1691</v>
      </c>
      <c r="AE42" s="164">
        <f>SUMIF(WMS용마재고!$A:$A,"S619-08.50", WMS용마재고!$L:$L)</f>
        <v>2104</v>
      </c>
      <c r="AF42" s="164">
        <f>SUMIF(WMS용마재고!$A:$A,"S619-09.00", WMS용마재고!$L:$L)</f>
        <v>2006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559</v>
      </c>
      <c r="AP42" s="191">
        <f>SUMIF(WMS용마재고!$A:$A,"S619-00.50", WMS용마재고!$L:$L)</f>
        <v>597</v>
      </c>
      <c r="AQ42" s="191">
        <f>SUMIF(WMS용마재고!$A:$A,"S619-00.75", WMS용마재고!$L:$L)</f>
        <v>1585</v>
      </c>
      <c r="AR42" s="191">
        <f>SUMIF(WMS용마재고!$A:$A,"S619-01.00", WMS용마재고!$L:$L)</f>
        <v>309</v>
      </c>
      <c r="AS42" s="191">
        <f>SUMIF(WMS용마재고!$A:$A,"S619-01.25", WMS용마재고!$L:$L)</f>
        <v>326</v>
      </c>
      <c r="AT42" s="191">
        <f>SUMIF(WMS용마재고!$A:$A,"S619-01.50", WMS용마재고!$L:$L)</f>
        <v>181</v>
      </c>
      <c r="AU42" s="191">
        <f>SUMIF(WMS용마재고!$A:$A,"S619-01.75", WMS용마재고!$L:$L)</f>
        <v>38</v>
      </c>
      <c r="AV42" s="191">
        <f>SUMIF(WMS용마재고!$A:$A,"S619-02.00", WMS용마재고!$L:$L)</f>
        <v>288</v>
      </c>
      <c r="AW42" s="191">
        <f>SUMIF(WMS용마재고!$A:$A,"S619-02.25", WMS용마재고!$L:$L)</f>
        <v>135</v>
      </c>
      <c r="AX42" s="191">
        <f>SUMIF(WMS용마재고!$A:$A,"S619-02.50", WMS용마재고!$L:$L)</f>
        <v>253</v>
      </c>
      <c r="AY42" s="191">
        <f>SUMIF(WMS용마재고!$A:$A,"S619-02.75", WMS용마재고!$L:$L)</f>
        <v>238</v>
      </c>
      <c r="AZ42" s="191">
        <f>SUMIF(WMS용마재고!$A:$A,"S619-03.00", WMS용마재고!$L:$L)</f>
        <v>371</v>
      </c>
      <c r="BA42" s="191">
        <f>SUMIF(WMS용마재고!$A:$A,"S619-03.25", WMS용마재고!$L:$L)</f>
        <v>488</v>
      </c>
      <c r="BB42" s="191">
        <f>SUMIF(WMS용마재고!$A:$A,"S619-03.50", WMS용마재고!$L:$L)</f>
        <v>373</v>
      </c>
      <c r="BC42" s="191">
        <f>SUMIF(WMS용마재고!$A:$A,"S619-03.75", WMS용마재고!$L:$L)</f>
        <v>68</v>
      </c>
      <c r="BD42" s="191">
        <f>SUMIF(WMS용마재고!$A:$A,"S619-04.00", WMS용마재고!$L:$L)</f>
        <v>608</v>
      </c>
      <c r="BE42" s="191">
        <f>SUMIF(WMS용마재고!$A:$A,"S619-04.25", WMS용마재고!$L:$L)</f>
        <v>1043</v>
      </c>
      <c r="BF42" s="191">
        <f>SUMIF(WMS용마재고!$A:$A,"S619-04.50", WMS용마재고!$L:$L)</f>
        <v>484</v>
      </c>
      <c r="BG42" s="191">
        <f>SUMIF(WMS용마재고!$A:$A,"S619-04.75", WMS용마재고!$L:$L)</f>
        <v>938</v>
      </c>
      <c r="BH42" s="191">
        <f>SUMIF(WMS용마재고!$A:$A,"S619-05.00", WMS용마재고!$L:$L)</f>
        <v>119</v>
      </c>
      <c r="BI42" s="191">
        <f>SUMIF(WMS용마재고!$A:$A,"S619-05.25", WMS용마재고!$L:$L)</f>
        <v>0</v>
      </c>
      <c r="BJ42" s="191">
        <f>SUMIF(WMS용마재고!$A:$A,"S619-05.50", WMS용마재고!$L:$L)</f>
        <v>77</v>
      </c>
      <c r="BK42" s="191">
        <f>SUMIF(WMS용마재고!$A:$A,"S619-05.75", WMS용마재고!$L:$L)</f>
        <v>0</v>
      </c>
      <c r="BL42" s="191">
        <f>SUMIF(WMS용마재고!$A:$A,"S619-06.00", WMS용마재고!$L:$L)</f>
        <v>601</v>
      </c>
      <c r="BM42" s="191">
        <f>SUMIF(WMS용마재고!$A:$A,"S619-06.50", WMS용마재고!$L:$L)</f>
        <v>627</v>
      </c>
      <c r="BN42" s="191">
        <f>SUMIF(WMS용마재고!$A:$A,"S619-07.00", WMS용마재고!$L:$L)</f>
        <v>1201</v>
      </c>
      <c r="BO42" s="191">
        <f>SUMIF(WMS용마재고!$A:$A,"S619-07.50", WMS용마재고!$L:$L)</f>
        <v>1475</v>
      </c>
      <c r="BP42" s="191">
        <f>SUMIF(WMS용마재고!$A:$A,"S619-08.00", WMS용마재고!$L:$L)</f>
        <v>1691</v>
      </c>
      <c r="BQ42" s="191">
        <f>SUMIF(WMS용마재고!$A:$A,"S619-08.50", WMS용마재고!$L:$L)</f>
        <v>2104</v>
      </c>
      <c r="BR42" s="191">
        <f>SUMIF(WMS용마재고!$A:$A,"S619-09.00", WMS용마재고!$L:$L)</f>
        <v>2006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559</v>
      </c>
      <c r="BZ42" s="192">
        <v>597</v>
      </c>
      <c r="CA42" s="192">
        <v>1585</v>
      </c>
      <c r="CB42" s="192">
        <v>309</v>
      </c>
      <c r="CC42" s="192">
        <v>326</v>
      </c>
      <c r="CD42" s="192">
        <v>181</v>
      </c>
      <c r="CE42" s="192">
        <v>38</v>
      </c>
      <c r="CF42" s="192">
        <v>288</v>
      </c>
      <c r="CG42" s="192">
        <v>135</v>
      </c>
      <c r="CH42" s="192">
        <v>253</v>
      </c>
      <c r="CI42" s="192">
        <v>238</v>
      </c>
      <c r="CJ42" s="192">
        <v>371</v>
      </c>
      <c r="CK42" s="192">
        <v>488</v>
      </c>
      <c r="CL42" s="192">
        <v>373</v>
      </c>
      <c r="CM42" s="192">
        <v>68</v>
      </c>
      <c r="CN42" s="192">
        <v>608</v>
      </c>
      <c r="CO42" s="192">
        <v>1043</v>
      </c>
      <c r="CP42" s="192">
        <v>484</v>
      </c>
      <c r="CQ42" s="193">
        <v>938</v>
      </c>
      <c r="CR42" s="193">
        <v>119</v>
      </c>
      <c r="CS42" s="193">
        <v>0</v>
      </c>
      <c r="CT42" s="193">
        <v>77</v>
      </c>
      <c r="CU42" s="193">
        <v>0</v>
      </c>
      <c r="CV42" s="193">
        <v>601</v>
      </c>
      <c r="CW42" s="193">
        <v>627</v>
      </c>
      <c r="CX42" s="193">
        <v>1201</v>
      </c>
      <c r="CY42" s="193">
        <v>1475</v>
      </c>
      <c r="CZ42" s="193">
        <v>1691</v>
      </c>
      <c r="DA42" s="193">
        <v>2104</v>
      </c>
      <c r="DB42" s="193">
        <v>2006</v>
      </c>
      <c r="DC42" s="193">
        <v>598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507</v>
      </c>
      <c r="D43" s="164">
        <f>SUMIF(WMS용마재고!$A:$A,"S625-00.50", WMS용마재고!$L:$L)</f>
        <v>1446</v>
      </c>
      <c r="E43" s="164">
        <f>SUMIF(WMS용마재고!$A:$A,"S625-00.75", WMS용마재고!$L:$L)</f>
        <v>1915</v>
      </c>
      <c r="F43" s="164">
        <f>SUMIF(WMS용마재고!$A:$A,"S625-01.00", WMS용마재고!$L:$L)</f>
        <v>1049</v>
      </c>
      <c r="G43" s="164">
        <f>SUMIF(WMS용마재고!$A:$A,"S625-01.25", WMS용마재고!$L:$L)</f>
        <v>794</v>
      </c>
      <c r="H43" s="164">
        <f>SUMIF(WMS용마재고!$A:$A,"S625-01.50", WMS용마재고!$L:$L)</f>
        <v>697</v>
      </c>
      <c r="I43" s="164">
        <f>SUMIF(WMS용마재고!$A:$A,"S625-01.75", WMS용마재고!$L:$L)</f>
        <v>769</v>
      </c>
      <c r="J43" s="164">
        <f>SUMIF(WMS용마재고!$A:$A,"S625-02.00", WMS용마재고!$L:$L)</f>
        <v>410</v>
      </c>
      <c r="K43" s="164">
        <f>SUMIF(WMS용마재고!$A:$A,"S625-02.25", WMS용마재고!$L:$L)</f>
        <v>634</v>
      </c>
      <c r="L43" s="164">
        <f>SUMIF(WMS용마재고!$A:$A,"S625-02.50", WMS용마재고!$L:$L)</f>
        <v>794</v>
      </c>
      <c r="M43" s="164">
        <f>SUMIF(WMS용마재고!$A:$A,"S625-02.75", WMS용마재고!$L:$L)</f>
        <v>612</v>
      </c>
      <c r="N43" s="164">
        <f>SUMIF(WMS용마재고!$A:$A,"S625-03.00", WMS용마재고!$L:$L)</f>
        <v>459</v>
      </c>
      <c r="O43" s="164">
        <f>SUMIF(WMS용마재고!$A:$A,"S625-03.25", WMS용마재고!$L:$L)</f>
        <v>770</v>
      </c>
      <c r="P43" s="164">
        <f>SUMIF(WMS용마재고!$A:$A,"S625-03.50", WMS용마재고!$L:$L)</f>
        <v>581</v>
      </c>
      <c r="Q43" s="164">
        <f>SUMIF(WMS용마재고!$A:$A,"S625-03.75", WMS용마재고!$L:$L)</f>
        <v>511</v>
      </c>
      <c r="R43" s="164">
        <f>SUMIF(WMS용마재고!$A:$A,"S625-04.00", WMS용마재고!$L:$L)</f>
        <v>915</v>
      </c>
      <c r="S43" s="164">
        <f>SUMIF(WMS용마재고!$A:$A,"S625-04.25", WMS용마재고!$L:$L)</f>
        <v>930</v>
      </c>
      <c r="T43" s="164">
        <f>SUMIF(WMS용마재고!$A:$A,"S625-04.50", WMS용마재고!$L:$L)</f>
        <v>1513</v>
      </c>
      <c r="U43" s="164">
        <f>SUMIF(WMS용마재고!$A:$A,"S625-04.75", WMS용마재고!$L:$L)</f>
        <v>1458</v>
      </c>
      <c r="V43" s="167">
        <f>SUMIF(WMS용마재고!$A:$A,"S625-05.00", WMS용마재고!$L:$L)</f>
        <v>353</v>
      </c>
      <c r="W43" s="162"/>
      <c r="X43" s="167">
        <f>SUMIF(WMS용마재고!$A:$A,"S625-05.50", WMS용마재고!$L:$L)</f>
        <v>275</v>
      </c>
      <c r="Y43" s="162"/>
      <c r="Z43" s="164">
        <f>SUMIF(WMS용마재고!$A:$A,"S625-06.00", WMS용마재고!$L:$L)</f>
        <v>1081</v>
      </c>
      <c r="AA43" s="164">
        <f>SUMIF(WMS용마재고!$A:$A,"S625-06.50", WMS용마재고!$L:$L)</f>
        <v>1139</v>
      </c>
      <c r="AB43" s="164">
        <f>SUMIF(WMS용마재고!$A:$A,"S625-07.00", WMS용마재고!$L:$L)</f>
        <v>1779</v>
      </c>
      <c r="AC43" s="164">
        <f>SUMIF(WMS용마재고!$A:$A,"S625-07.50", WMS용마재고!$L:$L)</f>
        <v>2246</v>
      </c>
      <c r="AD43" s="164">
        <f>SUMIF(WMS용마재고!$A:$A,"S625-08.00", WMS용마재고!$L:$L)</f>
        <v>1469</v>
      </c>
      <c r="AE43" s="164">
        <f>SUMIF(WMS용마재고!$A:$A,"S625-08.50", WMS용마재고!$L:$L)</f>
        <v>2032</v>
      </c>
      <c r="AF43" s="164">
        <f>SUMIF(WMS용마재고!$A:$A,"S625-09.00", WMS용마재고!$L:$L)</f>
        <v>1686</v>
      </c>
      <c r="AG43" s="164">
        <f>SUMIF(WMS용마재고!$A:$A,"S625-09.50", WMS용마재고!$L:$L)</f>
        <v>942</v>
      </c>
      <c r="AH43" s="167">
        <f>SUMIF(WMS용마재고!$A:$A,"S625-10.00", WMS용마재고!$L:$L)</f>
        <v>610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507</v>
      </c>
      <c r="AP43" s="191">
        <f>SUMIF(WMS용마재고!$A:$A,"S625-00.50", WMS용마재고!$L:$L)</f>
        <v>1446</v>
      </c>
      <c r="AQ43" s="191">
        <f>SUMIF(WMS용마재고!$A:$A,"S625-00.75", WMS용마재고!$L:$L)</f>
        <v>1915</v>
      </c>
      <c r="AR43" s="191">
        <f>SUMIF(WMS용마재고!$A:$A,"S625-01.00", WMS용마재고!$L:$L)</f>
        <v>1049</v>
      </c>
      <c r="AS43" s="191">
        <f>SUMIF(WMS용마재고!$A:$A,"S625-01.25", WMS용마재고!$L:$L)</f>
        <v>794</v>
      </c>
      <c r="AT43" s="191">
        <f>SUMIF(WMS용마재고!$A:$A,"S625-01.50", WMS용마재고!$L:$L)</f>
        <v>697</v>
      </c>
      <c r="AU43" s="191">
        <f>SUMIF(WMS용마재고!$A:$A,"S625-01.75", WMS용마재고!$L:$L)</f>
        <v>769</v>
      </c>
      <c r="AV43" s="191">
        <f>SUMIF(WMS용마재고!$A:$A,"S625-02.00", WMS용마재고!$L:$L)</f>
        <v>410</v>
      </c>
      <c r="AW43" s="191">
        <f>SUMIF(WMS용마재고!$A:$A,"S625-02.25", WMS용마재고!$L:$L)</f>
        <v>634</v>
      </c>
      <c r="AX43" s="191">
        <f>SUMIF(WMS용마재고!$A:$A,"S625-02.50", WMS용마재고!$L:$L)</f>
        <v>794</v>
      </c>
      <c r="AY43" s="191">
        <f>SUMIF(WMS용마재고!$A:$A,"S625-02.75", WMS용마재고!$L:$L)</f>
        <v>612</v>
      </c>
      <c r="AZ43" s="191">
        <f>SUMIF(WMS용마재고!$A:$A,"S625-03.00", WMS용마재고!$L:$L)</f>
        <v>459</v>
      </c>
      <c r="BA43" s="191">
        <f>SUMIF(WMS용마재고!$A:$A,"S625-03.25", WMS용마재고!$L:$L)</f>
        <v>770</v>
      </c>
      <c r="BB43" s="191">
        <f>SUMIF(WMS용마재고!$A:$A,"S625-03.50", WMS용마재고!$L:$L)</f>
        <v>581</v>
      </c>
      <c r="BC43" s="191">
        <f>SUMIF(WMS용마재고!$A:$A,"S625-03.75", WMS용마재고!$L:$L)</f>
        <v>511</v>
      </c>
      <c r="BD43" s="191">
        <f>SUMIF(WMS용마재고!$A:$A,"S625-04.00", WMS용마재고!$L:$L)</f>
        <v>915</v>
      </c>
      <c r="BE43" s="191">
        <f>SUMIF(WMS용마재고!$A:$A,"S625-04.25", WMS용마재고!$L:$L)</f>
        <v>930</v>
      </c>
      <c r="BF43" s="191">
        <f>SUMIF(WMS용마재고!$A:$A,"S625-04.50", WMS용마재고!$L:$L)</f>
        <v>1513</v>
      </c>
      <c r="BG43" s="191">
        <f>SUMIF(WMS용마재고!$A:$A,"S625-04.75", WMS용마재고!$L:$L)</f>
        <v>1458</v>
      </c>
      <c r="BH43" s="191">
        <f>SUMIF(WMS용마재고!$A:$A,"S625-05.00", WMS용마재고!$L:$L)</f>
        <v>353</v>
      </c>
      <c r="BI43" s="191">
        <f>SUMIF(WMS용마재고!$A:$A,"S625-05.25", WMS용마재고!$L:$L)</f>
        <v>0</v>
      </c>
      <c r="BJ43" s="191">
        <f>SUMIF(WMS용마재고!$A:$A,"S625-05.50", WMS용마재고!$L:$L)</f>
        <v>275</v>
      </c>
      <c r="BK43" s="191">
        <f>SUMIF(WMS용마재고!$A:$A,"S625-05.75", WMS용마재고!$L:$L)</f>
        <v>0</v>
      </c>
      <c r="BL43" s="191">
        <f>SUMIF(WMS용마재고!$A:$A,"S625-06.00", WMS용마재고!$L:$L)</f>
        <v>1081</v>
      </c>
      <c r="BM43" s="191">
        <f>SUMIF(WMS용마재고!$A:$A,"S625-06.50", WMS용마재고!$L:$L)</f>
        <v>1139</v>
      </c>
      <c r="BN43" s="191">
        <f>SUMIF(WMS용마재고!$A:$A,"S625-07.00", WMS용마재고!$L:$L)</f>
        <v>1779</v>
      </c>
      <c r="BO43" s="191">
        <f>SUMIF(WMS용마재고!$A:$A,"S625-07.50", WMS용마재고!$L:$L)</f>
        <v>2246</v>
      </c>
      <c r="BP43" s="191">
        <f>SUMIF(WMS용마재고!$A:$A,"S625-08.00", WMS용마재고!$L:$L)</f>
        <v>1469</v>
      </c>
      <c r="BQ43" s="191">
        <f>SUMIF(WMS용마재고!$A:$A,"S625-08.50", WMS용마재고!$L:$L)</f>
        <v>2032</v>
      </c>
      <c r="BR43" s="191">
        <f>SUMIF(WMS용마재고!$A:$A,"S625-09.00", WMS용마재고!$L:$L)</f>
        <v>1686</v>
      </c>
      <c r="BS43" s="191">
        <f>SUMIF(WMS용마재고!$A:$A,"S625-09.50", WMS용마재고!$L:$L)</f>
        <v>942</v>
      </c>
      <c r="BT43" s="191">
        <f>SUMIF(WMS용마재고!$A:$A,"S625-10.00", WMS용마재고!$L:$L)</f>
        <v>610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507</v>
      </c>
      <c r="BZ43" s="192">
        <v>1446</v>
      </c>
      <c r="CA43" s="192">
        <v>1915</v>
      </c>
      <c r="CB43" s="192">
        <v>1049</v>
      </c>
      <c r="CC43" s="192">
        <v>794</v>
      </c>
      <c r="CD43" s="192">
        <v>697</v>
      </c>
      <c r="CE43" s="192">
        <v>769</v>
      </c>
      <c r="CF43" s="192">
        <v>410</v>
      </c>
      <c r="CG43" s="192">
        <v>634</v>
      </c>
      <c r="CH43" s="192">
        <v>794</v>
      </c>
      <c r="CI43" s="192">
        <v>612</v>
      </c>
      <c r="CJ43" s="192">
        <v>459</v>
      </c>
      <c r="CK43" s="192">
        <v>770</v>
      </c>
      <c r="CL43" s="192">
        <v>581</v>
      </c>
      <c r="CM43" s="192">
        <v>511</v>
      </c>
      <c r="CN43" s="192">
        <v>915</v>
      </c>
      <c r="CO43" s="192">
        <v>930</v>
      </c>
      <c r="CP43" s="192">
        <v>1513</v>
      </c>
      <c r="CQ43" s="193">
        <v>1458</v>
      </c>
      <c r="CR43" s="193">
        <v>353</v>
      </c>
      <c r="CS43" s="193">
        <v>0</v>
      </c>
      <c r="CT43" s="193">
        <v>275</v>
      </c>
      <c r="CU43" s="193">
        <v>0</v>
      </c>
      <c r="CV43" s="193">
        <v>1081</v>
      </c>
      <c r="CW43" s="193">
        <v>1139</v>
      </c>
      <c r="CX43" s="193">
        <v>1779</v>
      </c>
      <c r="CY43" s="193">
        <v>2246</v>
      </c>
      <c r="CZ43" s="193">
        <v>1469</v>
      </c>
      <c r="DA43" s="193">
        <v>2032</v>
      </c>
      <c r="DB43" s="193">
        <v>1686</v>
      </c>
      <c r="DC43" s="193">
        <v>942</v>
      </c>
      <c r="DD43" s="193">
        <v>610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931</v>
      </c>
      <c r="D44" s="164">
        <f>SUMIF(WMS용마재고!$A:$A,"S627-00.50", WMS용마재고!$L:$L)</f>
        <v>1949</v>
      </c>
      <c r="E44" s="164">
        <f>SUMIF(WMS용마재고!$A:$A,"S627-00.75", WMS용마재고!$L:$L)</f>
        <v>2311</v>
      </c>
      <c r="F44" s="164">
        <f>SUMIF(WMS용마재고!$A:$A,"S627-01.00", WMS용마재고!$L:$L)</f>
        <v>1005</v>
      </c>
      <c r="G44" s="164">
        <f>SUMIF(WMS용마재고!$A:$A,"S627-01.25", WMS용마재고!$L:$L)</f>
        <v>824</v>
      </c>
      <c r="H44" s="164">
        <f>SUMIF(WMS용마재고!$A:$A,"S627-01.50", WMS용마재고!$L:$L)</f>
        <v>669</v>
      </c>
      <c r="I44" s="164">
        <f>SUMIF(WMS용마재고!$A:$A,"S627-01.75", WMS용마재고!$L:$L)</f>
        <v>496</v>
      </c>
      <c r="J44" s="164">
        <f>SUMIF(WMS용마재고!$A:$A,"S627-02.00", WMS용마재고!$L:$L)</f>
        <v>824</v>
      </c>
      <c r="K44" s="164">
        <f>SUMIF(WMS용마재고!$A:$A,"S627-02.25", WMS용마재고!$L:$L)</f>
        <v>892</v>
      </c>
      <c r="L44" s="164">
        <f>SUMIF(WMS용마재고!$A:$A,"S627-02.50", WMS용마재고!$L:$L)</f>
        <v>664</v>
      </c>
      <c r="M44" s="164">
        <f>SUMIF(WMS용마재고!$A:$A,"S627-02.75", WMS용마재고!$L:$L)</f>
        <v>595</v>
      </c>
      <c r="N44" s="164">
        <f>SUMIF(WMS용마재고!$A:$A,"S627-03.00", WMS용마재고!$L:$L)</f>
        <v>562</v>
      </c>
      <c r="O44" s="164">
        <f>SUMIF(WMS용마재고!$A:$A,"S627-03.25", WMS용마재고!$L:$L)</f>
        <v>884</v>
      </c>
      <c r="P44" s="164">
        <f>SUMIF(WMS용마재고!$A:$A,"S627-03.50", WMS용마재고!$L:$L)</f>
        <v>533</v>
      </c>
      <c r="Q44" s="164">
        <f>SUMIF(WMS용마재고!$A:$A,"S627-03.75", WMS용마재고!$L:$L)</f>
        <v>851</v>
      </c>
      <c r="R44" s="164">
        <f>SUMIF(WMS용마재고!$A:$A,"S627-04.00", WMS용마재고!$L:$L)</f>
        <v>814</v>
      </c>
      <c r="S44" s="164">
        <f>SUMIF(WMS용마재고!$A:$A,"S627-04.25", WMS용마재고!$L:$L)</f>
        <v>1016</v>
      </c>
      <c r="T44" s="164">
        <f>SUMIF(WMS용마재고!$A:$A,"S627-04.50", WMS용마재고!$L:$L)</f>
        <v>1211</v>
      </c>
      <c r="U44" s="164">
        <f>SUMIF(WMS용마재고!$A:$A,"S627-04.75", WMS용마재고!$L:$L)</f>
        <v>1295</v>
      </c>
      <c r="V44" s="167">
        <f>SUMIF(WMS용마재고!$A:$A,"S627-05.00", WMS용마재고!$L:$L)</f>
        <v>401</v>
      </c>
      <c r="W44" s="162"/>
      <c r="X44" s="167">
        <f>SUMIF(WMS용마재고!$A:$A,"S627-05.50", WMS용마재고!$L:$L)</f>
        <v>499</v>
      </c>
      <c r="Y44" s="162"/>
      <c r="Z44" s="164">
        <f>SUMIF(WMS용마재고!$A:$A,"S627-06.00", WMS용마재고!$L:$L)</f>
        <v>1212</v>
      </c>
      <c r="AA44" s="164">
        <f>SUMIF(WMS용마재고!$A:$A,"S627-06.50", WMS용마재고!$L:$L)</f>
        <v>1439</v>
      </c>
      <c r="AB44" s="164">
        <f>SUMIF(WMS용마재고!$A:$A,"S627-07.00", WMS용마재고!$L:$L)</f>
        <v>2101</v>
      </c>
      <c r="AC44" s="164">
        <f>SUMIF(WMS용마재고!$A:$A,"S627-07.50", WMS용마재고!$L:$L)</f>
        <v>2639</v>
      </c>
      <c r="AD44" s="164">
        <f>SUMIF(WMS용마재고!$A:$A,"S627-08.00", WMS용마재고!$L:$L)</f>
        <v>1349</v>
      </c>
      <c r="AE44" s="164">
        <f>SUMIF(WMS용마재고!$A:$A,"S627-08.50", WMS용마재고!$L:$L)</f>
        <v>2223</v>
      </c>
      <c r="AF44" s="164">
        <f>SUMIF(WMS용마재고!$A:$A,"S627-09.00", WMS용마재고!$L:$L)</f>
        <v>2268</v>
      </c>
      <c r="AG44" s="164">
        <f>SUMIF(WMS용마재고!$A:$A,"S627-09.50", WMS용마재고!$L:$L)</f>
        <v>510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931</v>
      </c>
      <c r="AP44" s="338">
        <f>SUMIF(WMS용마재고!$A:$A,"S627-00.50", WMS용마재고!$L:$L)</f>
        <v>1949</v>
      </c>
      <c r="AQ44" s="338">
        <f>SUMIF(WMS용마재고!$A:$A,"S627-00.75", WMS용마재고!$L:$L)</f>
        <v>2311</v>
      </c>
      <c r="AR44" s="338">
        <f>SUMIF(WMS용마재고!$A:$A,"S627-01.00", WMS용마재고!$L:$L)</f>
        <v>1005</v>
      </c>
      <c r="AS44" s="338">
        <f>SUMIF(WMS용마재고!$A:$A,"S627-01.25", WMS용마재고!$L:$L)</f>
        <v>824</v>
      </c>
      <c r="AT44" s="338">
        <f>SUMIF(WMS용마재고!$A:$A,"S627-01.50", WMS용마재고!$L:$L)</f>
        <v>669</v>
      </c>
      <c r="AU44" s="338">
        <f>SUMIF(WMS용마재고!$A:$A,"S627-01.75", WMS용마재고!$L:$L)</f>
        <v>496</v>
      </c>
      <c r="AV44" s="338">
        <f>SUMIF(WMS용마재고!$A:$A,"S627-02.00", WMS용마재고!$L:$L)</f>
        <v>824</v>
      </c>
      <c r="AW44" s="338">
        <f>SUMIF(WMS용마재고!$A:$A,"S627-02.25", WMS용마재고!$L:$L)</f>
        <v>892</v>
      </c>
      <c r="AX44" s="338">
        <f>SUMIF(WMS용마재고!$A:$A,"S627-02.50", WMS용마재고!$L:$L)</f>
        <v>664</v>
      </c>
      <c r="AY44" s="338">
        <f>SUMIF(WMS용마재고!$A:$A,"S627-02.75", WMS용마재고!$L:$L)</f>
        <v>595</v>
      </c>
      <c r="AZ44" s="338">
        <f>SUMIF(WMS용마재고!$A:$A,"S627-03.00", WMS용마재고!$L:$L)</f>
        <v>562</v>
      </c>
      <c r="BA44" s="338">
        <f>SUMIF(WMS용마재고!$A:$A,"S627-03.25", WMS용마재고!$L:$L)</f>
        <v>884</v>
      </c>
      <c r="BB44" s="338">
        <f>SUMIF(WMS용마재고!$A:$A,"S627-03.50", WMS용마재고!$L:$L)</f>
        <v>533</v>
      </c>
      <c r="BC44" s="338">
        <f>SUMIF(WMS용마재고!$A:$A,"S627-03.75", WMS용마재고!$L:$L)</f>
        <v>851</v>
      </c>
      <c r="BD44" s="338">
        <f>SUMIF(WMS용마재고!$A:$A,"S627-04.00", WMS용마재고!$L:$L)</f>
        <v>814</v>
      </c>
      <c r="BE44" s="338">
        <f>SUMIF(WMS용마재고!$A:$A,"S627-04.25", WMS용마재고!$L:$L)</f>
        <v>1016</v>
      </c>
      <c r="BF44" s="338">
        <f>SUMIF(WMS용마재고!$A:$A,"S627-04.50", WMS용마재고!$L:$L)</f>
        <v>1211</v>
      </c>
      <c r="BG44" s="338">
        <f>SUMIF(WMS용마재고!$A:$A,"S627-04.75", WMS용마재고!$L:$L)</f>
        <v>1295</v>
      </c>
      <c r="BH44" s="338">
        <f>SUMIF(WMS용마재고!$A:$A,"S627-05.00", WMS용마재고!$L:$L)</f>
        <v>401</v>
      </c>
      <c r="BI44" s="338">
        <f>SUMIF(WMS용마재고!$A:$A,"S627-05.25", WMS용마재고!$L:$L)</f>
        <v>0</v>
      </c>
      <c r="BJ44" s="338">
        <f>SUMIF(WMS용마재고!$A:$A,"S627-05.50", WMS용마재고!$L:$L)</f>
        <v>499</v>
      </c>
      <c r="BK44" s="338">
        <f>SUMIF(WMS용마재고!$A:$A,"S627-05.75", WMS용마재고!$L:$L)</f>
        <v>0</v>
      </c>
      <c r="BL44" s="338">
        <f>SUMIF(WMS용마재고!$A:$A,"S627-06.00", WMS용마재고!$L:$L)</f>
        <v>1212</v>
      </c>
      <c r="BM44" s="338">
        <f>SUMIF(WMS용마재고!$A:$A,"S627-06.50", WMS용마재고!$L:$L)</f>
        <v>1439</v>
      </c>
      <c r="BN44" s="338">
        <f>SUMIF(WMS용마재고!$A:$A,"S627-07.00", WMS용마재고!$L:$L)</f>
        <v>2101</v>
      </c>
      <c r="BO44" s="338">
        <f>SUMIF(WMS용마재고!$A:$A,"S627-07.50", WMS용마재고!$L:$L)</f>
        <v>2639</v>
      </c>
      <c r="BP44" s="338">
        <f>SUMIF(WMS용마재고!$A:$A,"S627-08.00", WMS용마재고!$L:$L)</f>
        <v>1349</v>
      </c>
      <c r="BQ44" s="338">
        <f>SUMIF(WMS용마재고!$A:$A,"S627-08.50", WMS용마재고!$L:$L)</f>
        <v>2223</v>
      </c>
      <c r="BR44" s="338">
        <f>SUMIF(WMS용마재고!$A:$A,"S627-09.00", WMS용마재고!$L:$L)</f>
        <v>2268</v>
      </c>
      <c r="BS44" s="338">
        <f>SUMIF(WMS용마재고!$A:$A,"S627-09.50", WMS용마재고!$L:$L)</f>
        <v>510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931</v>
      </c>
      <c r="BZ44" s="192">
        <v>1949</v>
      </c>
      <c r="CA44" s="192">
        <v>2311</v>
      </c>
      <c r="CB44" s="192">
        <v>1005</v>
      </c>
      <c r="CC44" s="192">
        <v>824</v>
      </c>
      <c r="CD44" s="192">
        <v>669</v>
      </c>
      <c r="CE44" s="192">
        <v>496</v>
      </c>
      <c r="CF44" s="192">
        <v>824</v>
      </c>
      <c r="CG44" s="192">
        <v>892</v>
      </c>
      <c r="CH44" s="192">
        <v>664</v>
      </c>
      <c r="CI44" s="192">
        <v>595</v>
      </c>
      <c r="CJ44" s="192">
        <v>562</v>
      </c>
      <c r="CK44" s="192">
        <v>884</v>
      </c>
      <c r="CL44" s="192">
        <v>533</v>
      </c>
      <c r="CM44" s="192">
        <v>851</v>
      </c>
      <c r="CN44" s="192">
        <v>814</v>
      </c>
      <c r="CO44" s="192">
        <v>1016</v>
      </c>
      <c r="CP44" s="192">
        <v>1211</v>
      </c>
      <c r="CQ44" s="193">
        <v>1295</v>
      </c>
      <c r="CR44" s="193">
        <v>401</v>
      </c>
      <c r="CS44" s="193">
        <v>0</v>
      </c>
      <c r="CT44" s="193">
        <v>499</v>
      </c>
      <c r="CU44" s="193">
        <v>0</v>
      </c>
      <c r="CV44" s="193">
        <v>1212</v>
      </c>
      <c r="CW44" s="193">
        <v>1439</v>
      </c>
      <c r="CX44" s="193">
        <v>2101</v>
      </c>
      <c r="CY44" s="193">
        <v>2639</v>
      </c>
      <c r="CZ44" s="193">
        <v>1349</v>
      </c>
      <c r="DA44" s="193">
        <v>2223</v>
      </c>
      <c r="DB44" s="193">
        <v>2268</v>
      </c>
      <c r="DC44" s="193">
        <v>510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3" t="s">
        <v>6320</v>
      </c>
      <c r="B45" s="54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6317</v>
      </c>
      <c r="C46" s="164">
        <f>SUMIF(WMS용마재고!$A:$A,"S181-00.00", WMS용마재고!$L:$L)</f>
        <v>785</v>
      </c>
      <c r="D46" s="164">
        <f>SUMIF(WMS용마재고!$A:$A,"S181-00.50", WMS용마재고!$L:$L)</f>
        <v>637</v>
      </c>
      <c r="E46" s="164">
        <f>SUMIF(WMS용마재고!$A:$A,"S181-00.75", WMS용마재고!$L:$L)</f>
        <v>2114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319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368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637</v>
      </c>
      <c r="AQ46" s="336">
        <f>SUMIF(WMS용마재고!$A:$A,"S181-00.75", WMS용마재고!$L:$L)</f>
        <v>2114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319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368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637</v>
      </c>
      <c r="CA46" s="192">
        <v>2114</v>
      </c>
      <c r="CB46" s="192">
        <v>303</v>
      </c>
      <c r="CC46" s="192">
        <v>278</v>
      </c>
      <c r="CD46" s="192">
        <v>319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273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261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6318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6319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3" t="s">
        <v>4960</v>
      </c>
      <c r="B49" s="544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185</v>
      </c>
      <c r="G50" s="164">
        <f>SUMIF(WMS용마재고!$A:$A,"S659-01.25-0.75", WMS용마재고!$L:$L)</f>
        <v>214</v>
      </c>
      <c r="H50" s="164">
        <f>SUMIF(WMS용마재고!$A:$A,"S659-01.50-0.75", WMS용마재고!$L:$L)</f>
        <v>238</v>
      </c>
      <c r="I50" s="164">
        <f>SUMIF(WMS용마재고!$A:$A,"S659-01.75-0.75", WMS용마재고!$L:$L)</f>
        <v>1269</v>
      </c>
      <c r="J50" s="164">
        <f>SUMIF(WMS용마재고!$A:$A,"S659-02.00-0.75", WMS용마재고!$L:$L)</f>
        <v>141</v>
      </c>
      <c r="K50" s="164">
        <f>SUMIF(WMS용마재고!$A:$A,"S659-02.25-0.75", WMS용마재고!$L:$L)</f>
        <v>372</v>
      </c>
      <c r="L50" s="164">
        <f>SUMIF(WMS용마재고!$A:$A,"S659-02.50-0.75", WMS용마재고!$L:$L)</f>
        <v>597</v>
      </c>
      <c r="M50" s="164">
        <f>SUMIF(WMS용마재고!$A:$A,"S659-02.75-0.75", WMS용마재고!$L:$L)</f>
        <v>306</v>
      </c>
      <c r="N50" s="164">
        <f>SUMIF(WMS용마재고!$A:$A,"S659-03.00-0.75", WMS용마재고!$L:$L)</f>
        <v>434</v>
      </c>
      <c r="O50" s="164">
        <f>SUMIF(WMS용마재고!$A:$A,"S659-03.25-0.75", WMS용마재고!$L:$L)</f>
        <v>185</v>
      </c>
      <c r="P50" s="164">
        <f>SUMIF(WMS용마재고!$A:$A,"S659-03.50-0.75", WMS용마재고!$L:$L)</f>
        <v>1609</v>
      </c>
      <c r="Q50" s="164">
        <f>SUMIF(WMS용마재고!$A:$A,"S659-03.75-0.75", WMS용마재고!$L:$L)</f>
        <v>469</v>
      </c>
      <c r="R50" s="164">
        <f>SUMIF(WMS용마재고!$A:$A,"S659-04.00-0.75", WMS용마재고!$L:$L)</f>
        <v>435</v>
      </c>
      <c r="S50" s="164">
        <f>SUMIF(WMS용마재고!$A:$A,"S659-04.25-0.75", WMS용마재고!$L:$L)</f>
        <v>548</v>
      </c>
      <c r="T50" s="164">
        <f>SUMIF(WMS용마재고!$A:$A,"S659-04.50-0.75", WMS용마재고!$L:$L)</f>
        <v>933</v>
      </c>
      <c r="U50" s="164">
        <f>SUMIF(WMS용마재고!$A:$A,"S659-04.75-0.75", WMS용마재고!$L:$L)</f>
        <v>211</v>
      </c>
      <c r="V50" s="167">
        <f>SUMIF(WMS용마재고!$A:$A,"S659-05.00-0.75", WMS용마재고!$L:$L)</f>
        <v>142</v>
      </c>
      <c r="W50" s="162"/>
      <c r="X50" s="167">
        <f>SUMIF(WMS용마재고!$A:$A,"S659-05.50-0.75", WMS용마재고!$L:$L)</f>
        <v>132</v>
      </c>
      <c r="Y50" s="162"/>
      <c r="Z50" s="164">
        <f>SUMIF(WMS용마재고!$A:$A,"S659-06.00-0.75", WMS용마재고!$L:$L)</f>
        <v>75</v>
      </c>
      <c r="AA50" s="164">
        <f>SUMIF(WMS용마재고!$A:$A,"S659-06.50-0.75", WMS용마재고!$L:$L)</f>
        <v>125</v>
      </c>
      <c r="AB50" s="167">
        <f>SUMIF(WMS용마재고!$A:$A,"s659-07.00-0.75", WMS용마재고!$L:$L)</f>
        <v>184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185</v>
      </c>
      <c r="AS50" s="336">
        <f>SUMIF(WMS용마재고!$A:$A,"S659-01.25-0.75", WMS용마재고!$L:$L)</f>
        <v>214</v>
      </c>
      <c r="AT50" s="336">
        <f>SUMIF(WMS용마재고!$A:$A,"S659-01.50-0.75", WMS용마재고!$L:$L)</f>
        <v>238</v>
      </c>
      <c r="AU50" s="336">
        <f>SUMIF(WMS용마재고!$A:$A,"S659-01.75-0.75", WMS용마재고!$L:$L)</f>
        <v>1269</v>
      </c>
      <c r="AV50" s="336">
        <f>SUMIF(WMS용마재고!$A:$A,"S659-02.00-0.75", WMS용마재고!$L:$L)</f>
        <v>141</v>
      </c>
      <c r="AW50" s="336">
        <f>SUMIF(WMS용마재고!$A:$A,"S659-02.25-0.75", WMS용마재고!$L:$L)</f>
        <v>372</v>
      </c>
      <c r="AX50" s="336">
        <f>SUMIF(WMS용마재고!$A:$A,"S659-02.50-0.75", WMS용마재고!$L:$L)</f>
        <v>597</v>
      </c>
      <c r="AY50" s="336">
        <f>SUMIF(WMS용마재고!$A:$A,"S659-02.75-0.75", WMS용마재고!$L:$L)</f>
        <v>306</v>
      </c>
      <c r="AZ50" s="336">
        <f>SUMIF(WMS용마재고!$A:$A,"S659-03.00-0.75", WMS용마재고!$L:$L)</f>
        <v>434</v>
      </c>
      <c r="BA50" s="336">
        <f>SUMIF(WMS용마재고!$A:$A,"S659-03.25-0.75", WMS용마재고!$L:$L)</f>
        <v>185</v>
      </c>
      <c r="BB50" s="336">
        <f>SUMIF(WMS용마재고!$A:$A,"S659-03.50-0.75", WMS용마재고!$L:$L)</f>
        <v>1609</v>
      </c>
      <c r="BC50" s="336">
        <f>SUMIF(WMS용마재고!$A:$A,"S659-03.75-0.75", WMS용마재고!$L:$L)</f>
        <v>469</v>
      </c>
      <c r="BD50" s="336">
        <f>SUMIF(WMS용마재고!$A:$A,"S659-04.00-0.75", WMS용마재고!$L:$L)</f>
        <v>435</v>
      </c>
      <c r="BE50" s="336">
        <f>SUMIF(WMS용마재고!$A:$A,"S659-04.25-0.75", WMS용마재고!$L:$L)</f>
        <v>548</v>
      </c>
      <c r="BF50" s="336">
        <f>SUMIF(WMS용마재고!$A:$A,"S659-04.50-0.75", WMS용마재고!$L:$L)</f>
        <v>933</v>
      </c>
      <c r="BG50" s="336">
        <f>SUMIF(WMS용마재고!$A:$A,"S659-04.75-0.75", WMS용마재고!$L:$L)</f>
        <v>211</v>
      </c>
      <c r="BH50" s="336">
        <f>SUMIF(WMS용마재고!$A:$A,"S659-05.00-0.75", WMS용마재고!$L:$L)</f>
        <v>142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132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75</v>
      </c>
      <c r="BM50" s="336">
        <f>SUMIF(WMS용마재고!$A:$A,"S659-06.50-0.75", WMS용마재고!$L:$L)</f>
        <v>125</v>
      </c>
      <c r="BN50" s="336">
        <f>SUMIF(WMS용마재고!$A:$A,"S659-07.00-0.75", WMS용마재고!$L:$L)</f>
        <v>184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185</v>
      </c>
      <c r="CC50" s="192">
        <v>214</v>
      </c>
      <c r="CD50" s="192">
        <v>238</v>
      </c>
      <c r="CE50" s="192">
        <v>1269</v>
      </c>
      <c r="CF50" s="192">
        <v>141</v>
      </c>
      <c r="CG50" s="192">
        <v>372</v>
      </c>
      <c r="CH50" s="192">
        <v>597</v>
      </c>
      <c r="CI50" s="192">
        <v>306</v>
      </c>
      <c r="CJ50" s="192">
        <v>434</v>
      </c>
      <c r="CK50" s="192">
        <v>185</v>
      </c>
      <c r="CL50" s="192">
        <v>1609</v>
      </c>
      <c r="CM50" s="192">
        <v>469</v>
      </c>
      <c r="CN50" s="192">
        <v>435</v>
      </c>
      <c r="CO50" s="192">
        <v>548</v>
      </c>
      <c r="CP50" s="192">
        <v>933</v>
      </c>
      <c r="CQ50" s="193">
        <v>211</v>
      </c>
      <c r="CR50" s="193">
        <v>142</v>
      </c>
      <c r="CS50" s="193">
        <v>0</v>
      </c>
      <c r="CT50" s="193">
        <v>132</v>
      </c>
      <c r="CU50" s="193">
        <v>0</v>
      </c>
      <c r="CV50" s="193">
        <v>75</v>
      </c>
      <c r="CW50" s="193">
        <v>125</v>
      </c>
      <c r="CX50" s="193">
        <v>184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471</v>
      </c>
      <c r="G51" s="164">
        <f>SUMIF(WMS용마재고!$A:$A,"S659-01.25-1.25", WMS용마재고!$L:$L)</f>
        <v>477</v>
      </c>
      <c r="H51" s="164">
        <f>SUMIF(WMS용마재고!$A:$A,"S659-01.50-1.25", WMS용마재고!$L:$L)</f>
        <v>707</v>
      </c>
      <c r="I51" s="164">
        <f>SUMIF(WMS용마재고!$A:$A,"S659-01.75-1.25", WMS용마재고!$L:$L)</f>
        <v>918</v>
      </c>
      <c r="J51" s="164">
        <f>SUMIF(WMS용마재고!$A:$A,"S659-02.00-1.25", WMS용마재고!$L:$L)</f>
        <v>1058</v>
      </c>
      <c r="K51" s="164">
        <f>SUMIF(WMS용마재고!$A:$A,"S659-02.25-1.25", WMS용마재고!$L:$L)</f>
        <v>1180</v>
      </c>
      <c r="L51" s="164">
        <f>SUMIF(WMS용마재고!$A:$A,"S659-02.50-1.25", WMS용마재고!$L:$L)</f>
        <v>1573</v>
      </c>
      <c r="M51" s="164">
        <f>SUMIF(WMS용마재고!$A:$A,"S659-02.75-1.25", WMS용마재고!$L:$L)</f>
        <v>1212</v>
      </c>
      <c r="N51" s="164">
        <f>SUMIF(WMS용마재고!$A:$A,"S659-03.00-1.25", WMS용마재고!$L:$L)</f>
        <v>1561</v>
      </c>
      <c r="O51" s="164">
        <f>SUMIF(WMS용마재고!$A:$A,"S659-03.25-1.25", WMS용마재고!$L:$L)</f>
        <v>1210</v>
      </c>
      <c r="P51" s="164">
        <f>SUMIF(WMS용마재고!$A:$A,"S659-03.50-1.25", WMS용마재고!$L:$L)</f>
        <v>1278</v>
      </c>
      <c r="Q51" s="164">
        <f>SUMIF(WMS용마재고!$A:$A,"S659-03.75-1.25", WMS용마재고!$L:$L)</f>
        <v>1107</v>
      </c>
      <c r="R51" s="164">
        <f>SUMIF(WMS용마재고!$A:$A,"S659-04.00-1.25", WMS용마재고!$L:$L)</f>
        <v>935</v>
      </c>
      <c r="S51" s="164">
        <f>SUMIF(WMS용마재고!$A:$A,"S659-04.25-1.25", WMS용마재고!$L:$L)</f>
        <v>1377</v>
      </c>
      <c r="T51" s="164">
        <f>SUMIF(WMS용마재고!$A:$A,"S659-04.50-1.25", WMS용마재고!$L:$L)</f>
        <v>781</v>
      </c>
      <c r="U51" s="164">
        <f>SUMIF(WMS용마재고!$A:$A,"S659-04.75-1.25", WMS용마재고!$L:$L)</f>
        <v>1358</v>
      </c>
      <c r="V51" s="167">
        <f>SUMIF(WMS용마재고!$A:$A,"S659-05.00-1.25", WMS용마재고!$L:$L)</f>
        <v>1157</v>
      </c>
      <c r="W51" s="162"/>
      <c r="X51" s="167">
        <f>SUMIF(WMS용마재고!$A:$A,"S659-05.50-1.25", WMS용마재고!$L:$L)</f>
        <v>415</v>
      </c>
      <c r="Y51" s="162"/>
      <c r="Z51" s="164">
        <f>SUMIF(WMS용마재고!$A:$A,"S659-06.00-1.25", WMS용마재고!$L:$L)</f>
        <v>389</v>
      </c>
      <c r="AA51" s="164">
        <f>SUMIF(WMS용마재고!$A:$A,"S659-06.50-1.25", WMS용마재고!$L:$L)</f>
        <v>471</v>
      </c>
      <c r="AB51" s="167">
        <f>SUMIF(WMS용마재고!$A:$A,"s659-07.00-1.25", WMS용마재고!$L:$L)</f>
        <v>1033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471</v>
      </c>
      <c r="AS51" s="191">
        <f>SUMIF(WMS용마재고!$A:$A,"S659-01.25-1.25", WMS용마재고!$L:$L)</f>
        <v>477</v>
      </c>
      <c r="AT51" s="191">
        <f>SUMIF(WMS용마재고!$A:$A,"S659-01.50-1.25", WMS용마재고!$L:$L)</f>
        <v>707</v>
      </c>
      <c r="AU51" s="191">
        <f>SUMIF(WMS용마재고!$A:$A,"S659-01.75-1.25", WMS용마재고!$L:$L)</f>
        <v>918</v>
      </c>
      <c r="AV51" s="191">
        <f>SUMIF(WMS용마재고!$A:$A,"S659-02.00-1.25", WMS용마재고!$L:$L)</f>
        <v>1058</v>
      </c>
      <c r="AW51" s="191">
        <f>SUMIF(WMS용마재고!$A:$A,"S659-02.25-1.25", WMS용마재고!$L:$L)</f>
        <v>1180</v>
      </c>
      <c r="AX51" s="191">
        <f>SUMIF(WMS용마재고!$A:$A,"S659-02.50-1.25", WMS용마재고!$L:$L)</f>
        <v>1573</v>
      </c>
      <c r="AY51" s="191">
        <f>SUMIF(WMS용마재고!$A:$A,"S659-02.75-1.25", WMS용마재고!$L:$L)</f>
        <v>1212</v>
      </c>
      <c r="AZ51" s="191">
        <f>SUMIF(WMS용마재고!$A:$A,"S659-03.00-1.25", WMS용마재고!$L:$L)</f>
        <v>1561</v>
      </c>
      <c r="BA51" s="191">
        <f>SUMIF(WMS용마재고!$A:$A,"S659-03.25-1.25", WMS용마재고!$L:$L)</f>
        <v>1210</v>
      </c>
      <c r="BB51" s="191">
        <f>SUMIF(WMS용마재고!$A:$A,"S659-03.50-1.25", WMS용마재고!$L:$L)</f>
        <v>1278</v>
      </c>
      <c r="BC51" s="191">
        <f>SUMIF(WMS용마재고!$A:$A,"S659-03.75-1.25", WMS용마재고!$L:$L)</f>
        <v>1107</v>
      </c>
      <c r="BD51" s="191">
        <f>SUMIF(WMS용마재고!$A:$A,"S659-04.00-1.25", WMS용마재고!$L:$L)</f>
        <v>935</v>
      </c>
      <c r="BE51" s="191">
        <f>SUMIF(WMS용마재고!$A:$A,"S659-04.25-1.25", WMS용마재고!$L:$L)</f>
        <v>1377</v>
      </c>
      <c r="BF51" s="191">
        <f>SUMIF(WMS용마재고!$A:$A,"S659-04.50-1.25", WMS용마재고!$L:$L)</f>
        <v>781</v>
      </c>
      <c r="BG51" s="191">
        <f>SUMIF(WMS용마재고!$A:$A,"S659-04.75-1.25", WMS용마재고!$L:$L)</f>
        <v>1358</v>
      </c>
      <c r="BH51" s="191">
        <f>SUMIF(WMS용마재고!$A:$A,"S659-05.00-1.25", WMS용마재고!$L:$L)</f>
        <v>1157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415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389</v>
      </c>
      <c r="BM51" s="191">
        <f>SUMIF(WMS용마재고!$A:$A,"S659-06.50-1.25", WMS용마재고!$L:$L)</f>
        <v>471</v>
      </c>
      <c r="BN51" s="191">
        <f>SUMIF(WMS용마재고!$A:$A,"S659-07.00-1.25", WMS용마재고!$L:$L)</f>
        <v>1033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471</v>
      </c>
      <c r="CC51" s="192">
        <v>477</v>
      </c>
      <c r="CD51" s="192">
        <v>707</v>
      </c>
      <c r="CE51" s="192">
        <v>918</v>
      </c>
      <c r="CF51" s="192">
        <v>1058</v>
      </c>
      <c r="CG51" s="192">
        <v>1180</v>
      </c>
      <c r="CH51" s="192">
        <v>1573</v>
      </c>
      <c r="CI51" s="192">
        <v>1212</v>
      </c>
      <c r="CJ51" s="192">
        <v>1561</v>
      </c>
      <c r="CK51" s="192">
        <v>1210</v>
      </c>
      <c r="CL51" s="192">
        <v>1278</v>
      </c>
      <c r="CM51" s="192">
        <v>1107</v>
      </c>
      <c r="CN51" s="192">
        <v>935</v>
      </c>
      <c r="CO51" s="192">
        <v>1377</v>
      </c>
      <c r="CP51" s="192">
        <v>781</v>
      </c>
      <c r="CQ51" s="193">
        <v>1358</v>
      </c>
      <c r="CR51" s="193">
        <v>1157</v>
      </c>
      <c r="CS51" s="193">
        <v>0</v>
      </c>
      <c r="CT51" s="193">
        <v>415</v>
      </c>
      <c r="CU51" s="193">
        <v>0</v>
      </c>
      <c r="CV51" s="193">
        <v>389</v>
      </c>
      <c r="CW51" s="193">
        <v>471</v>
      </c>
      <c r="CX51" s="193">
        <v>1033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847</v>
      </c>
      <c r="G52" s="164">
        <f>SUMIF(WMS용마재고!$A:$A,"S659-01.25-1.75", WMS용마재고!$L:$L)</f>
        <v>436</v>
      </c>
      <c r="H52" s="164">
        <f>SUMIF(WMS용마재고!$A:$A,"S659-01.50-1.75", WMS용마재고!$L:$L)</f>
        <v>631</v>
      </c>
      <c r="I52" s="164">
        <f>SUMIF(WMS용마재고!$A:$A,"S659-01.75-1.75", WMS용마재고!$L:$L)</f>
        <v>589</v>
      </c>
      <c r="J52" s="164">
        <f>SUMIF(WMS용마재고!$A:$A,"S659-02.00-1.75", WMS용마재고!$L:$L)</f>
        <v>1332</v>
      </c>
      <c r="K52" s="164">
        <f>SUMIF(WMS용마재고!$A:$A,"S659-02.25-1.75", WMS용마재고!$L:$L)</f>
        <v>2095</v>
      </c>
      <c r="L52" s="164">
        <f>SUMIF(WMS용마재고!$A:$A,"S659-02.50-1.75", WMS용마재고!$L:$L)</f>
        <v>1125</v>
      </c>
      <c r="M52" s="164">
        <f>SUMIF(WMS용마재고!$A:$A,"S659-02.75-1.75", WMS용마재고!$L:$L)</f>
        <v>518</v>
      </c>
      <c r="N52" s="164">
        <f>SUMIF(WMS용마재고!$A:$A,"S659-03.00-1.75", WMS용마재고!$L:$L)</f>
        <v>2395</v>
      </c>
      <c r="O52" s="164">
        <f>SUMIF(WMS용마재고!$A:$A,"S659-03.25-1.75", WMS용마재고!$L:$L)</f>
        <v>1505</v>
      </c>
      <c r="P52" s="164">
        <f>SUMIF(WMS용마재고!$A:$A,"S659-03.50-1.75", WMS용마재고!$L:$L)</f>
        <v>1719</v>
      </c>
      <c r="Q52" s="164">
        <f>SUMIF(WMS용마재고!$A:$A,"S659-03.75-1.75", WMS용마재고!$L:$L)</f>
        <v>1528</v>
      </c>
      <c r="R52" s="164">
        <f>SUMIF(WMS용마재고!$A:$A,"S659-04.00-1.75", WMS용마재고!$L:$L)</f>
        <v>941</v>
      </c>
      <c r="S52" s="164">
        <f>SUMIF(WMS용마재고!$A:$A,"S659-04.25-1.75", WMS용마재고!$L:$L)</f>
        <v>1372</v>
      </c>
      <c r="T52" s="164">
        <f>SUMIF(WMS용마재고!$A:$A,"S659-04.50-1.75", WMS용마재고!$L:$L)</f>
        <v>1451</v>
      </c>
      <c r="U52" s="164">
        <f>SUMIF(WMS용마재고!$A:$A,"S659-04.75-1.75", WMS용마재고!$L:$L)</f>
        <v>1628</v>
      </c>
      <c r="V52" s="167">
        <f>SUMIF(WMS용마재고!$A:$A,"S659-05.00-1.75", WMS용마재고!$L:$L)</f>
        <v>1745</v>
      </c>
      <c r="W52" s="162"/>
      <c r="X52" s="167">
        <f>SUMIF(WMS용마재고!$A:$A,"S659-05.50-1.75", WMS용마재고!$L:$L)</f>
        <v>661</v>
      </c>
      <c r="Y52" s="162"/>
      <c r="Z52" s="164">
        <f>SUMIF(WMS용마재고!$A:$A,"S659-06.00-1.75", WMS용마재고!$L:$L)</f>
        <v>298</v>
      </c>
      <c r="AA52" s="164">
        <f>SUMIF(WMS용마재고!$A:$A,"S659-06.50-1.75", WMS용마재고!$L:$L)</f>
        <v>269</v>
      </c>
      <c r="AB52" s="167">
        <f>SUMIF(WMS용마재고!$A:$A,"s659-07.00-1.75", WMS용마재고!$L:$L)</f>
        <v>587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847</v>
      </c>
      <c r="AS52" s="191">
        <f>SUMIF(WMS용마재고!$A:$A,"S659-01.25-1.75", WMS용마재고!$L:$L)</f>
        <v>436</v>
      </c>
      <c r="AT52" s="191">
        <f>SUMIF(WMS용마재고!$A:$A,"S659-01.50-1.75", WMS용마재고!$L:$L)</f>
        <v>631</v>
      </c>
      <c r="AU52" s="191">
        <f>SUMIF(WMS용마재고!$A:$A,"S659-01.75-1.75", WMS용마재고!$L:$L)</f>
        <v>589</v>
      </c>
      <c r="AV52" s="191">
        <f>SUMIF(WMS용마재고!$A:$A,"S659-02.00-1.75", WMS용마재고!$L:$L)</f>
        <v>1332</v>
      </c>
      <c r="AW52" s="191">
        <f>SUMIF(WMS용마재고!$A:$A,"S659-02.25-1.75", WMS용마재고!$L:$L)</f>
        <v>2095</v>
      </c>
      <c r="AX52" s="191">
        <f>SUMIF(WMS용마재고!$A:$A,"S659-02.50-1.75", WMS용마재고!$L:$L)</f>
        <v>1125</v>
      </c>
      <c r="AY52" s="191">
        <f>SUMIF(WMS용마재고!$A:$A,"S659-02.75-1.75", WMS용마재고!$L:$L)</f>
        <v>518</v>
      </c>
      <c r="AZ52" s="191">
        <f>SUMIF(WMS용마재고!$A:$A,"S659-03.00-1.75", WMS용마재고!$L:$L)</f>
        <v>2395</v>
      </c>
      <c r="BA52" s="191">
        <f>SUMIF(WMS용마재고!$A:$A,"S659-03.25-1.75", WMS용마재고!$L:$L)</f>
        <v>1505</v>
      </c>
      <c r="BB52" s="191">
        <f>SUMIF(WMS용마재고!$A:$A,"S659-03.50-1.75", WMS용마재고!$L:$L)</f>
        <v>1719</v>
      </c>
      <c r="BC52" s="191">
        <f>SUMIF(WMS용마재고!$A:$A,"S659-03.75-1.75", WMS용마재고!$L:$L)</f>
        <v>1528</v>
      </c>
      <c r="BD52" s="191">
        <f>SUMIF(WMS용마재고!$A:$A,"S659-04.00-1.75", WMS용마재고!$L:$L)</f>
        <v>941</v>
      </c>
      <c r="BE52" s="191">
        <f>SUMIF(WMS용마재고!$A:$A,"S659-04.25-1.75", WMS용마재고!$L:$L)</f>
        <v>1372</v>
      </c>
      <c r="BF52" s="191">
        <f>SUMIF(WMS용마재고!$A:$A,"S659-04.50-1.75", WMS용마재고!$L:$L)</f>
        <v>1451</v>
      </c>
      <c r="BG52" s="191">
        <f>SUMIF(WMS용마재고!$A:$A,"S659-04.75-1.75", WMS용마재고!$L:$L)</f>
        <v>1628</v>
      </c>
      <c r="BH52" s="191">
        <f>SUMIF(WMS용마재고!$A:$A,"S659-05.00-1.75", WMS용마재고!$L:$L)</f>
        <v>1745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661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298</v>
      </c>
      <c r="BM52" s="191">
        <f>SUMIF(WMS용마재고!$A:$A,"S659-06.50-1.75", WMS용마재고!$L:$L)</f>
        <v>269</v>
      </c>
      <c r="BN52" s="191">
        <f>SUMIF(WMS용마재고!$A:$A,"S659-07.00-1.75", WMS용마재고!$L:$L)</f>
        <v>587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847</v>
      </c>
      <c r="CC52" s="192">
        <v>436</v>
      </c>
      <c r="CD52" s="192">
        <v>631</v>
      </c>
      <c r="CE52" s="192">
        <v>589</v>
      </c>
      <c r="CF52" s="192">
        <v>1332</v>
      </c>
      <c r="CG52" s="192">
        <v>2095</v>
      </c>
      <c r="CH52" s="192">
        <v>1125</v>
      </c>
      <c r="CI52" s="192">
        <v>518</v>
      </c>
      <c r="CJ52" s="192">
        <v>2395</v>
      </c>
      <c r="CK52" s="192">
        <v>1505</v>
      </c>
      <c r="CL52" s="192">
        <v>1719</v>
      </c>
      <c r="CM52" s="192">
        <v>1528</v>
      </c>
      <c r="CN52" s="192">
        <v>941</v>
      </c>
      <c r="CO52" s="192">
        <v>1372</v>
      </c>
      <c r="CP52" s="192">
        <v>1451</v>
      </c>
      <c r="CQ52" s="193">
        <v>1628</v>
      </c>
      <c r="CR52" s="193">
        <v>1745</v>
      </c>
      <c r="CS52" s="193">
        <v>0</v>
      </c>
      <c r="CT52" s="193">
        <v>661</v>
      </c>
      <c r="CU52" s="193">
        <v>0</v>
      </c>
      <c r="CV52" s="193">
        <v>298</v>
      </c>
      <c r="CW52" s="193">
        <v>269</v>
      </c>
      <c r="CX52" s="193">
        <v>587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302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131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435</v>
      </c>
      <c r="R53" s="164">
        <f>SUMIF(WMS용마재고!$A:$A,"S660-04.00-0.75", WMS용마재고!$L:$L)</f>
        <v>379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555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302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131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435</v>
      </c>
      <c r="BD53" s="191">
        <f>SUMIF(WMS용마재고!$A:$A,"S660-04.00-0.75", WMS용마재고!$L:$L)</f>
        <v>379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555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594</v>
      </c>
      <c r="CD53" s="192">
        <v>504</v>
      </c>
      <c r="CE53" s="192">
        <v>302</v>
      </c>
      <c r="CF53" s="192">
        <v>382</v>
      </c>
      <c r="CG53" s="192">
        <v>329</v>
      </c>
      <c r="CH53" s="192">
        <v>160</v>
      </c>
      <c r="CI53" s="192">
        <v>207</v>
      </c>
      <c r="CJ53" s="192">
        <v>576</v>
      </c>
      <c r="CK53" s="192">
        <v>131</v>
      </c>
      <c r="CL53" s="192">
        <v>447</v>
      </c>
      <c r="CM53" s="192">
        <v>435</v>
      </c>
      <c r="CN53" s="192">
        <v>379</v>
      </c>
      <c r="CO53" s="192">
        <v>308</v>
      </c>
      <c r="CP53" s="192">
        <v>555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682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1082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940</v>
      </c>
      <c r="Q54" s="164">
        <f>SUMIF(WMS용마재고!$A:$A,"S660-03.75-1.25", WMS용마재고!$L:$L)</f>
        <v>965</v>
      </c>
      <c r="R54" s="164">
        <f>SUMIF(WMS용마재고!$A:$A,"S660-04.00-1.25", WMS용마재고!$L:$L)</f>
        <v>936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682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1082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940</v>
      </c>
      <c r="BC54" s="191">
        <f>SUMIF(WMS용마재고!$A:$A,"S660-03.75-1.25", WMS용마재고!$L:$L)</f>
        <v>965</v>
      </c>
      <c r="BD54" s="191">
        <f>SUMIF(WMS용마재고!$A:$A,"S660-04.00-1.25", WMS용마재고!$L:$L)</f>
        <v>936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731</v>
      </c>
      <c r="CD54" s="192">
        <v>634</v>
      </c>
      <c r="CE54" s="192">
        <v>682</v>
      </c>
      <c r="CF54" s="192">
        <v>1268</v>
      </c>
      <c r="CG54" s="192">
        <v>1537</v>
      </c>
      <c r="CH54" s="192">
        <v>940</v>
      </c>
      <c r="CI54" s="192">
        <v>948</v>
      </c>
      <c r="CJ54" s="192">
        <v>1082</v>
      </c>
      <c r="CK54" s="192">
        <v>1113</v>
      </c>
      <c r="CL54" s="192">
        <v>940</v>
      </c>
      <c r="CM54" s="192">
        <v>965</v>
      </c>
      <c r="CN54" s="192">
        <v>936</v>
      </c>
      <c r="CO54" s="192">
        <v>702</v>
      </c>
      <c r="CP54" s="192">
        <v>911</v>
      </c>
      <c r="CQ54" s="193">
        <v>949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456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979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661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1648</v>
      </c>
      <c r="Q55" s="164">
        <f>SUMIF(WMS용마재고!$A:$A,"S660-03.75-1.75", WMS용마재고!$L:$L)</f>
        <v>717</v>
      </c>
      <c r="R55" s="164">
        <f>SUMIF(WMS용마재고!$A:$A,"S660-04.00-1.75", WMS용마재고!$L:$L)</f>
        <v>696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412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979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661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1648</v>
      </c>
      <c r="BC55" s="191">
        <f>SUMIF(WMS용마재고!$A:$A,"S660-03.75-1.75", WMS용마재고!$L:$L)</f>
        <v>717</v>
      </c>
      <c r="BD55" s="191">
        <f>SUMIF(WMS용마재고!$A:$A,"S660-04.00-1.75", WMS용마재고!$L:$L)</f>
        <v>696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412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979</v>
      </c>
      <c r="CF55" s="192">
        <v>751</v>
      </c>
      <c r="CG55" s="192">
        <v>661</v>
      </c>
      <c r="CH55" s="192">
        <v>547</v>
      </c>
      <c r="CI55" s="192">
        <v>692</v>
      </c>
      <c r="CJ55" s="192">
        <v>1059</v>
      </c>
      <c r="CK55" s="192">
        <v>675</v>
      </c>
      <c r="CL55" s="192">
        <v>1648</v>
      </c>
      <c r="CM55" s="192">
        <v>717</v>
      </c>
      <c r="CN55" s="192">
        <v>696</v>
      </c>
      <c r="CO55" s="192">
        <v>1588</v>
      </c>
      <c r="CP55" s="192">
        <v>1130</v>
      </c>
      <c r="CQ55" s="193">
        <v>1207</v>
      </c>
      <c r="CR55" s="193">
        <v>815</v>
      </c>
      <c r="CS55" s="193">
        <v>0</v>
      </c>
      <c r="CT55" s="193">
        <v>412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839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1094</v>
      </c>
      <c r="G56" s="164">
        <f>SUMIF(WMS용마재고!$A:$A,"S522-01.25-0.75", WMS용마재고!$L:$L)</f>
        <v>1559</v>
      </c>
      <c r="H56" s="164">
        <f>SUMIF(WMS용마재고!$A:$A,"S522-01.50-0.75", WMS용마재고!$L:$L)</f>
        <v>947</v>
      </c>
      <c r="I56" s="164">
        <f>SUMIF(WMS용마재고!$A:$A,"S522-01.75-0.75", WMS용마재고!$L:$L)</f>
        <v>1581</v>
      </c>
      <c r="J56" s="164">
        <f>SUMIF(WMS용마재고!$A:$A,"S522-02.00-0.75", WMS용마재고!$L:$L)</f>
        <v>1350</v>
      </c>
      <c r="K56" s="164">
        <f>SUMIF(WMS용마재고!$A:$A,"S522-02.25-0.75", WMS용마재고!$L:$L)</f>
        <v>1293</v>
      </c>
      <c r="L56" s="164">
        <f>SUMIF(WMS용마재고!$A:$A,"S522-02.50-0.75", WMS용마재고!$L:$L)</f>
        <v>1037</v>
      </c>
      <c r="M56" s="164">
        <f>SUMIF(WMS용마재고!$A:$A,"S522-02.75-0.75", WMS용마재고!$L:$L)</f>
        <v>1591</v>
      </c>
      <c r="N56" s="164">
        <f>SUMIF(WMS용마재고!$A:$A,"S522-03.00-0.75", WMS용마재고!$L:$L)</f>
        <v>825</v>
      </c>
      <c r="O56" s="164">
        <f>SUMIF(WMS용마재고!$A:$A,"S522-03.25-0.75", WMS용마재고!$L:$L)</f>
        <v>1046</v>
      </c>
      <c r="P56" s="164">
        <f>SUMIF(WMS용마재고!$A:$A,"S522-03.50-0.75", WMS용마재고!$L:$L)</f>
        <v>792</v>
      </c>
      <c r="Q56" s="164">
        <f>SUMIF(WMS용마재고!$A:$A,"S522-03.75-0.75", WMS용마재고!$L:$L)</f>
        <v>451</v>
      </c>
      <c r="R56" s="164">
        <f>SUMIF(WMS용마재고!$A:$A,"S522-04.00-0.75", WMS용마재고!$L:$L)</f>
        <v>557</v>
      </c>
      <c r="S56" s="164">
        <f>SUMIF(WMS용마재고!$A:$A,"S522-04.25-0.75", WMS용마재고!$L:$L)</f>
        <v>490</v>
      </c>
      <c r="T56" s="164">
        <f>SUMIF(WMS용마재고!$A:$A,"S522-04.50-0.75", WMS용마재고!$L:$L)</f>
        <v>1194</v>
      </c>
      <c r="U56" s="164">
        <f>SUMIF(WMS용마재고!$A:$A,"S522-04.75-0.75", WMS용마재고!$L:$L)</f>
        <v>751</v>
      </c>
      <c r="V56" s="167">
        <f>SUMIF(WMS용마재고!$A:$A,"S522-05.00-0.75", WMS용마재고!$L:$L)</f>
        <v>535</v>
      </c>
      <c r="W56" s="162"/>
      <c r="X56" s="167">
        <f>SUMIF(WMS용마재고!$A:$A,"S522-05.50-0.75", WMS용마재고!$L:$L)</f>
        <v>1074</v>
      </c>
      <c r="Y56" s="162"/>
      <c r="Z56" s="164">
        <f>SUMIF(WMS용마재고!$A:$A,"S522-06.00-0.75", WMS용마재고!$L:$L)</f>
        <v>639</v>
      </c>
      <c r="AA56" s="164">
        <f>SUMIF(WMS용마재고!$A:$A,"S522-06.50-0.75", WMS용마재고!$L:$L)</f>
        <v>2272</v>
      </c>
      <c r="AB56" s="164">
        <f>SUMIF(WMS용마재고!$A:$A,"S522-07.00-0.75", WMS용마재고!$L:$L)</f>
        <v>1279</v>
      </c>
      <c r="AC56" s="159">
        <f>SUMIF(WMS용마재고!$A:$A,"S522-07.50-0.75", WMS용마재고!$L:$L)</f>
        <v>992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839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1094</v>
      </c>
      <c r="AS56" s="191">
        <f>SUMIF(WMS용마재고!$A:$A,"S522-01.25-0.75", WMS용마재고!$L:$L)</f>
        <v>1559</v>
      </c>
      <c r="AT56" s="191">
        <f>SUMIF(WMS용마재고!$A:$A,"S522-01.50-0.75", WMS용마재고!$L:$L)</f>
        <v>947</v>
      </c>
      <c r="AU56" s="191">
        <f>SUMIF(WMS용마재고!$A:$A,"S522-01.75-0.75", WMS용마재고!$L:$L)</f>
        <v>1581</v>
      </c>
      <c r="AV56" s="191">
        <f>SUMIF(WMS용마재고!$A:$A,"S522-02.00-0.75", WMS용마재고!$L:$L)</f>
        <v>1350</v>
      </c>
      <c r="AW56" s="191">
        <f>SUMIF(WMS용마재고!$A:$A,"S522-02.25-0.75", WMS용마재고!$L:$L)</f>
        <v>1293</v>
      </c>
      <c r="AX56" s="191">
        <f>SUMIF(WMS용마재고!$A:$A,"S522-02.50-0.75", WMS용마재고!$L:$L)</f>
        <v>1037</v>
      </c>
      <c r="AY56" s="191">
        <f>SUMIF(WMS용마재고!$A:$A,"S522-02.75-0.75", WMS용마재고!$L:$L)</f>
        <v>1591</v>
      </c>
      <c r="AZ56" s="191">
        <f>SUMIF(WMS용마재고!$A:$A,"S522-03.00-0.75", WMS용마재고!$L:$L)</f>
        <v>825</v>
      </c>
      <c r="BA56" s="191">
        <f>SUMIF(WMS용마재고!$A:$A,"S522-03.25-0.75", WMS용마재고!$L:$L)</f>
        <v>1046</v>
      </c>
      <c r="BB56" s="191">
        <f>SUMIF(WMS용마재고!$A:$A,"S522-03.50-0.75", WMS용마재고!$L:$L)</f>
        <v>792</v>
      </c>
      <c r="BC56" s="191">
        <f>SUMIF(WMS용마재고!$A:$A,"S522-03.75-0.75", WMS용마재고!$L:$L)</f>
        <v>451</v>
      </c>
      <c r="BD56" s="191">
        <f>SUMIF(WMS용마재고!$A:$A,"S522-04.00-0.75", WMS용마재고!$L:$L)</f>
        <v>557</v>
      </c>
      <c r="BE56" s="191">
        <f>SUMIF(WMS용마재고!$A:$A,"S522-04.25-0.75", WMS용마재고!$L:$L)</f>
        <v>490</v>
      </c>
      <c r="BF56" s="191">
        <f>SUMIF(WMS용마재고!$A:$A,"S522-04.50-0.75", WMS용마재고!$L:$L)</f>
        <v>1194</v>
      </c>
      <c r="BG56" s="191">
        <f>SUMIF(WMS용마재고!$A:$A,"S522-04.75-0.75", WMS용마재고!$L:$L)</f>
        <v>751</v>
      </c>
      <c r="BH56" s="191">
        <f>SUMIF(WMS용마재고!$A:$A,"S522-05.00-0.75", WMS용마재고!$L:$L)</f>
        <v>535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1074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639</v>
      </c>
      <c r="BM56" s="191">
        <f>SUMIF(WMS용마재고!$A:$A,"S522-06.50-0.75", WMS용마재고!$L:$L)</f>
        <v>2272</v>
      </c>
      <c r="BN56" s="191">
        <f>SUMIF(WMS용마재고!$A:$A,"S522-07.00-0.75", WMS용마재고!$L:$L)</f>
        <v>1279</v>
      </c>
      <c r="BO56" s="191">
        <f>SUMIF(WMS용마재고!$A:$A,"S522-07.50-0.75", WMS용마재고!$L:$L)</f>
        <v>992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839</v>
      </c>
      <c r="BZ56" s="192">
        <v>2448</v>
      </c>
      <c r="CA56" s="192">
        <v>1843</v>
      </c>
      <c r="CB56" s="192">
        <v>1094</v>
      </c>
      <c r="CC56" s="192">
        <v>1559</v>
      </c>
      <c r="CD56" s="192">
        <v>947</v>
      </c>
      <c r="CE56" s="192">
        <v>1581</v>
      </c>
      <c r="CF56" s="192">
        <v>1350</v>
      </c>
      <c r="CG56" s="192">
        <v>1293</v>
      </c>
      <c r="CH56" s="192">
        <v>1037</v>
      </c>
      <c r="CI56" s="192">
        <v>1591</v>
      </c>
      <c r="CJ56" s="192">
        <v>825</v>
      </c>
      <c r="CK56" s="192">
        <v>1046</v>
      </c>
      <c r="CL56" s="192">
        <v>792</v>
      </c>
      <c r="CM56" s="192">
        <v>451</v>
      </c>
      <c r="CN56" s="192">
        <v>557</v>
      </c>
      <c r="CO56" s="192">
        <v>490</v>
      </c>
      <c r="CP56" s="192">
        <v>1194</v>
      </c>
      <c r="CQ56" s="193">
        <v>751</v>
      </c>
      <c r="CR56" s="193">
        <v>535</v>
      </c>
      <c r="CS56" s="193">
        <v>0</v>
      </c>
      <c r="CT56" s="193">
        <v>1074</v>
      </c>
      <c r="CU56" s="193">
        <v>0</v>
      </c>
      <c r="CV56" s="193">
        <v>639</v>
      </c>
      <c r="CW56" s="193">
        <v>2272</v>
      </c>
      <c r="CX56" s="193">
        <v>1279</v>
      </c>
      <c r="CY56" s="193">
        <v>992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1002</v>
      </c>
      <c r="D57" s="164">
        <f>SUMIF(WMS용마재고!$A:$A,"S522-00.50-1.25", WMS용마재고!$L:$L)</f>
        <v>1147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1049</v>
      </c>
      <c r="G57" s="164">
        <f>SUMIF(WMS용마재고!$A:$A,"S522-01.25-1.25", WMS용마재고!$L:$L)</f>
        <v>905</v>
      </c>
      <c r="H57" s="164">
        <f>SUMIF(WMS용마재고!$A:$A,"S522-01.50-1.25", WMS용마재고!$L:$L)</f>
        <v>1104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930</v>
      </c>
      <c r="K57" s="164">
        <f>SUMIF(WMS용마재고!$A:$A,"S522-02.25-1.25", WMS용마재고!$L:$L)</f>
        <v>1056</v>
      </c>
      <c r="L57" s="164">
        <f>SUMIF(WMS용마재고!$A:$A,"S522-02.50-1.25", WMS용마재고!$L:$L)</f>
        <v>1168</v>
      </c>
      <c r="M57" s="164">
        <f>SUMIF(WMS용마재고!$A:$A,"S522-02.75-1.25", WMS용마재고!$L:$L)</f>
        <v>622</v>
      </c>
      <c r="N57" s="164">
        <f>SUMIF(WMS용마재고!$A:$A,"S522-03.00-1.25", WMS용마재고!$L:$L)</f>
        <v>730</v>
      </c>
      <c r="O57" s="164">
        <f>SUMIF(WMS용마재고!$A:$A,"S522-03.25-1.25", WMS용마재고!$L:$L)</f>
        <v>1033</v>
      </c>
      <c r="P57" s="164">
        <f>SUMIF(WMS용마재고!$A:$A,"S522-03.50-1.25", WMS용마재고!$L:$L)</f>
        <v>484</v>
      </c>
      <c r="Q57" s="164">
        <f>SUMIF(WMS용마재고!$A:$A,"S522-03.75-1.25", WMS용마재고!$L:$L)</f>
        <v>165</v>
      </c>
      <c r="R57" s="164">
        <f>SUMIF(WMS용마재고!$A:$A,"S522-04.00-1.25", WMS용마재고!$L:$L)</f>
        <v>214</v>
      </c>
      <c r="S57" s="164">
        <f>SUMIF(WMS용마재고!$A:$A,"S522-04.25-1.25", WMS용마재고!$L:$L)</f>
        <v>1185</v>
      </c>
      <c r="T57" s="164">
        <f>SUMIF(WMS용마재고!$A:$A,"S522-04.50-1.25", WMS용마재고!$L:$L)</f>
        <v>928</v>
      </c>
      <c r="U57" s="164">
        <f>SUMIF(WMS용마재고!$A:$A,"S522-04.75-1.25", WMS용마재고!$L:$L)</f>
        <v>1705</v>
      </c>
      <c r="V57" s="167">
        <f>SUMIF(WMS용마재고!$A:$A,"S522-05.00-1.25", WMS용마재고!$L:$L)</f>
        <v>842</v>
      </c>
      <c r="W57" s="162"/>
      <c r="X57" s="167">
        <f>SUMIF(WMS용마재고!$A:$A,"S522-05.50-1.25", WMS용마재고!$L:$L)</f>
        <v>245</v>
      </c>
      <c r="Y57" s="162"/>
      <c r="Z57" s="164">
        <f>SUMIF(WMS용마재고!$A:$A,"S522-06.00-1.25", WMS용마재고!$L:$L)</f>
        <v>636</v>
      </c>
      <c r="AA57" s="164">
        <f>SUMIF(WMS용마재고!$A:$A,"S522-06.50-1.25", WMS용마재고!$L:$L)</f>
        <v>589</v>
      </c>
      <c r="AB57" s="164">
        <f>SUMIF(WMS용마재고!$A:$A,"S522-07.00-1.25", WMS용마재고!$L:$L)</f>
        <v>430</v>
      </c>
      <c r="AC57" s="164">
        <f>SUMIF(WMS용마재고!$A:$A,"S522-07.50-1.25", WMS용마재고!$L:$L)</f>
        <v>121</v>
      </c>
      <c r="AD57" s="164">
        <f>SUMIF(WMS용마재고!$A:$A,"S522-08.00-1.25", WMS용마재고!$L:$L)</f>
        <v>92</v>
      </c>
      <c r="AE57" s="164">
        <f>SUMIF(WMS용마재고!$A:$A,"S522-08.50-1.25", WMS용마재고!$L:$L)</f>
        <v>56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1002</v>
      </c>
      <c r="AP57" s="191">
        <f>SUMIF(WMS용마재고!$A:$A,"S522-00.50-1.25", WMS용마재고!$L:$L)</f>
        <v>1147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1049</v>
      </c>
      <c r="AS57" s="191">
        <f>SUMIF(WMS용마재고!$A:$A,"S522-01.25-1.25", WMS용마재고!$L:$L)</f>
        <v>905</v>
      </c>
      <c r="AT57" s="191">
        <f>SUMIF(WMS용마재고!$A:$A,"S522-01.50-1.25", WMS용마재고!$L:$L)</f>
        <v>1104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930</v>
      </c>
      <c r="AW57" s="191">
        <f>SUMIF(WMS용마재고!$A:$A,"S522-02.25-1.25", WMS용마재고!$L:$L)</f>
        <v>1056</v>
      </c>
      <c r="AX57" s="191">
        <f>SUMIF(WMS용마재고!$A:$A,"S522-02.50-1.25", WMS용마재고!$L:$L)</f>
        <v>1168</v>
      </c>
      <c r="AY57" s="191">
        <f>SUMIF(WMS용마재고!$A:$A,"S522-02.75-1.25", WMS용마재고!$L:$L)</f>
        <v>622</v>
      </c>
      <c r="AZ57" s="191">
        <f>SUMIF(WMS용마재고!$A:$A,"S522-03.00-1.25", WMS용마재고!$L:$L)</f>
        <v>730</v>
      </c>
      <c r="BA57" s="191">
        <f>SUMIF(WMS용마재고!$A:$A,"S522-03.25-1.25", WMS용마재고!$L:$L)</f>
        <v>1033</v>
      </c>
      <c r="BB57" s="191">
        <f>SUMIF(WMS용마재고!$A:$A,"S522-03.50-1.25", WMS용마재고!$L:$L)</f>
        <v>484</v>
      </c>
      <c r="BC57" s="191">
        <f>SUMIF(WMS용마재고!$A:$A,"S522-03.75-1.25", WMS용마재고!$L:$L)</f>
        <v>165</v>
      </c>
      <c r="BD57" s="191">
        <f>SUMIF(WMS용마재고!$A:$A,"S522-04.00-1.25", WMS용마재고!$L:$L)</f>
        <v>214</v>
      </c>
      <c r="BE57" s="191">
        <f>SUMIF(WMS용마재고!$A:$A,"S522-04.25-1.25", WMS용마재고!$L:$L)</f>
        <v>1185</v>
      </c>
      <c r="BF57" s="191">
        <f>SUMIF(WMS용마재고!$A:$A,"S522-04.50-1.25", WMS용마재고!$L:$L)</f>
        <v>928</v>
      </c>
      <c r="BG57" s="191">
        <f>SUMIF(WMS용마재고!$A:$A,"S522-04.75-1.25", WMS용마재고!$L:$L)</f>
        <v>1705</v>
      </c>
      <c r="BH57" s="191">
        <f>SUMIF(WMS용마재고!$A:$A,"S522-05.00-1.25", WMS용마재고!$L:$L)</f>
        <v>842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245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636</v>
      </c>
      <c r="BM57" s="191">
        <f>SUMIF(WMS용마재고!$A:$A,"S522-06.50-1.25", WMS용마재고!$L:$L)</f>
        <v>589</v>
      </c>
      <c r="BN57" s="191">
        <f>SUMIF(WMS용마재고!$A:$A,"S522-07.00-1.25", WMS용마재고!$L:$L)</f>
        <v>430</v>
      </c>
      <c r="BO57" s="191">
        <f>SUMIF(WMS용마재고!$A:$A,"S522-07.50-1.25", WMS용마재고!$L:$L)</f>
        <v>121</v>
      </c>
      <c r="BP57" s="191">
        <f>SUMIF(WMS용마재고!$A:$A,"S522-08.00-1.25", WMS용마재고!$L:$L)</f>
        <v>92</v>
      </c>
      <c r="BQ57" s="191">
        <f>SUMIF(WMS용마재고!$A:$A,"S522-08.50-1.25", WMS용마재고!$L:$L)</f>
        <v>56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1002</v>
      </c>
      <c r="BZ57" s="192">
        <v>1147</v>
      </c>
      <c r="CA57" s="192">
        <v>1483</v>
      </c>
      <c r="CB57" s="192">
        <v>1049</v>
      </c>
      <c r="CC57" s="192">
        <v>905</v>
      </c>
      <c r="CD57" s="192">
        <v>1104</v>
      </c>
      <c r="CE57" s="192">
        <v>586</v>
      </c>
      <c r="CF57" s="192">
        <v>930</v>
      </c>
      <c r="CG57" s="192">
        <v>1056</v>
      </c>
      <c r="CH57" s="192">
        <v>1168</v>
      </c>
      <c r="CI57" s="192">
        <v>622</v>
      </c>
      <c r="CJ57" s="192">
        <v>730</v>
      </c>
      <c r="CK57" s="192">
        <v>1033</v>
      </c>
      <c r="CL57" s="192">
        <v>484</v>
      </c>
      <c r="CM57" s="192">
        <v>165</v>
      </c>
      <c r="CN57" s="192">
        <v>214</v>
      </c>
      <c r="CO57" s="192">
        <v>1185</v>
      </c>
      <c r="CP57" s="192">
        <v>928</v>
      </c>
      <c r="CQ57" s="193">
        <v>1705</v>
      </c>
      <c r="CR57" s="193">
        <v>842</v>
      </c>
      <c r="CS57" s="193">
        <v>0</v>
      </c>
      <c r="CT57" s="193">
        <v>245</v>
      </c>
      <c r="CU57" s="193">
        <v>0</v>
      </c>
      <c r="CV57" s="193">
        <v>636</v>
      </c>
      <c r="CW57" s="193">
        <v>589</v>
      </c>
      <c r="CX57" s="193">
        <v>430</v>
      </c>
      <c r="CY57" s="193">
        <v>121</v>
      </c>
      <c r="CZ57" s="193">
        <v>92</v>
      </c>
      <c r="DA57" s="193">
        <v>56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66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600</v>
      </c>
      <c r="G58" s="164">
        <f>SUMIF(WMS용마재고!$A:$A,"S522-01.25-1.75", WMS용마재고!$L:$L)</f>
        <v>884</v>
      </c>
      <c r="H58" s="164">
        <f>SUMIF(WMS용마재고!$A:$A,"S522-01.50-1.75", WMS용마재고!$L:$L)</f>
        <v>764</v>
      </c>
      <c r="I58" s="164">
        <f>SUMIF(WMS용마재고!$A:$A,"S522-01.75-1.75", WMS용마재고!$L:$L)</f>
        <v>423</v>
      </c>
      <c r="J58" s="164">
        <f>SUMIF(WMS용마재고!$A:$A,"S522-02.00-1.75", WMS용마재고!$L:$L)</f>
        <v>1287</v>
      </c>
      <c r="K58" s="164">
        <f>SUMIF(WMS용마재고!$A:$A,"S522-02.25-1.75", WMS용마재고!$L:$L)</f>
        <v>833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642</v>
      </c>
      <c r="N58" s="164">
        <f>SUMIF(WMS용마재고!$A:$A,"S522-03.00-1.75", WMS용마재고!$L:$L)</f>
        <v>460</v>
      </c>
      <c r="O58" s="164">
        <f>SUMIF(WMS용마재고!$A:$A,"S522-03.25-1.75", WMS용마재고!$L:$L)</f>
        <v>500</v>
      </c>
      <c r="P58" s="164">
        <f>SUMIF(WMS용마재고!$A:$A,"S522-03.50-1.75", WMS용마재고!$L:$L)</f>
        <v>290</v>
      </c>
      <c r="Q58" s="164">
        <f>SUMIF(WMS용마재고!$A:$A,"S522-03.75-1.75", WMS용마재고!$L:$L)</f>
        <v>587</v>
      </c>
      <c r="R58" s="164">
        <f>SUMIF(WMS용마재고!$A:$A,"S522-04.00-1.75", WMS용마재고!$L:$L)</f>
        <v>166</v>
      </c>
      <c r="S58" s="164">
        <f>SUMIF(WMS용마재고!$A:$A,"S522-04.25-1.75", WMS용마재고!$L:$L)</f>
        <v>1187</v>
      </c>
      <c r="T58" s="164">
        <f>SUMIF(WMS용마재고!$A:$A,"S522-04.50-1.75", WMS용마재고!$L:$L)</f>
        <v>950</v>
      </c>
      <c r="U58" s="164">
        <f>SUMIF(WMS용마재고!$A:$A,"S522-04.75-1.75", WMS용마재고!$L:$L)</f>
        <v>403</v>
      </c>
      <c r="V58" s="167">
        <f>SUMIF(WMS용마재고!$A:$A,"S522-05.00-1.75", WMS용마재고!$L:$L)</f>
        <v>78</v>
      </c>
      <c r="W58" s="162"/>
      <c r="X58" s="167">
        <f>SUMIF(WMS용마재고!$A:$A,"S522-05.50-1.75", WMS용마재고!$L:$L)</f>
        <v>185</v>
      </c>
      <c r="Y58" s="162"/>
      <c r="Z58" s="164">
        <f>SUMIF(WMS용마재고!$A:$A,"S522-06.00-1.75", WMS용마재고!$L:$L)</f>
        <v>173</v>
      </c>
      <c r="AA58" s="164">
        <f>SUMIF(WMS용마재고!$A:$A,"S522-06.50-1.75", WMS용마재고!$L:$L)</f>
        <v>889</v>
      </c>
      <c r="AB58" s="164">
        <f>SUMIF(WMS용마재고!$A:$A,"S522-07.00-1.75", WMS용마재고!$L:$L)</f>
        <v>59</v>
      </c>
      <c r="AC58" s="164">
        <f>SUMIF(WMS용마재고!$A:$A,"S522-07.50-1.75", WMS용마재고!$L:$L)</f>
        <v>222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132</v>
      </c>
      <c r="AF58" s="167">
        <f>SUMIF(WMS용마재고!$A:$A,"S522-09.00-1.75", WMS용마재고!$L:$L)</f>
        <v>91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66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600</v>
      </c>
      <c r="AS58" s="191">
        <f>SUMIF(WMS용마재고!$A:$A,"S522-01.25-1.75", WMS용마재고!$L:$L)</f>
        <v>884</v>
      </c>
      <c r="AT58" s="191">
        <f>SUMIF(WMS용마재고!$A:$A,"S522-01.50-1.75", WMS용마재고!$L:$L)</f>
        <v>764</v>
      </c>
      <c r="AU58" s="191">
        <f>SUMIF(WMS용마재고!$A:$A,"S522-01.75-1.75", WMS용마재고!$L:$L)</f>
        <v>423</v>
      </c>
      <c r="AV58" s="191">
        <f>SUMIF(WMS용마재고!$A:$A,"S522-02.00-1.75", WMS용마재고!$L:$L)</f>
        <v>1287</v>
      </c>
      <c r="AW58" s="191">
        <f>SUMIF(WMS용마재고!$A:$A,"S522-02.25-1.75", WMS용마재고!$L:$L)</f>
        <v>833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642</v>
      </c>
      <c r="AZ58" s="191">
        <f>SUMIF(WMS용마재고!$A:$A,"S522-03.00-1.75", WMS용마재고!$L:$L)</f>
        <v>460</v>
      </c>
      <c r="BA58" s="191">
        <f>SUMIF(WMS용마재고!$A:$A,"S522-03.25-1.75", WMS용마재고!$L:$L)</f>
        <v>500</v>
      </c>
      <c r="BB58" s="191">
        <f>SUMIF(WMS용마재고!$A:$A,"S522-03.50-1.75", WMS용마재고!$L:$L)</f>
        <v>290</v>
      </c>
      <c r="BC58" s="191">
        <f>SUMIF(WMS용마재고!$A:$A,"S522-03.75-1.75", WMS용마재고!$L:$L)</f>
        <v>587</v>
      </c>
      <c r="BD58" s="191">
        <f>SUMIF(WMS용마재고!$A:$A,"S522-04.00-1.75", WMS용마재고!$L:$L)</f>
        <v>166</v>
      </c>
      <c r="BE58" s="191">
        <f>SUMIF(WMS용마재고!$A:$A,"S522-04.25-1.75", WMS용마재고!$L:$L)</f>
        <v>1187</v>
      </c>
      <c r="BF58" s="191">
        <f>SUMIF(WMS용마재고!$A:$A,"S522-04.50-1.75", WMS용마재고!$L:$L)</f>
        <v>950</v>
      </c>
      <c r="BG58" s="191">
        <f>SUMIF(WMS용마재고!$A:$A,"S522-04.75-1.75", WMS용마재고!$L:$L)</f>
        <v>403</v>
      </c>
      <c r="BH58" s="191">
        <f>SUMIF(WMS용마재고!$A:$A,"S522-05.00-1.75", WMS용마재고!$L:$L)</f>
        <v>78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185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173</v>
      </c>
      <c r="BM58" s="191">
        <f>SUMIF(WMS용마재고!$A:$A,"S522-06.50-1.75", WMS용마재고!$L:$L)</f>
        <v>889</v>
      </c>
      <c r="BN58" s="191">
        <f>SUMIF(WMS용마재고!$A:$A,"S522-07.00-1.75", WMS용마재고!$L:$L)</f>
        <v>59</v>
      </c>
      <c r="BO58" s="191">
        <f>SUMIF(WMS용마재고!$A:$A,"S522-07.50-1.75", WMS용마재고!$L:$L)</f>
        <v>222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132</v>
      </c>
      <c r="BR58" s="191">
        <f>SUMIF(WMS용마재고!$A:$A,"S522-09.00-1.75", WMS용마재고!$L:$L)</f>
        <v>91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66</v>
      </c>
      <c r="BZ58" s="192">
        <v>607</v>
      </c>
      <c r="CA58" s="192">
        <v>910</v>
      </c>
      <c r="CB58" s="192">
        <v>600</v>
      </c>
      <c r="CC58" s="192">
        <v>884</v>
      </c>
      <c r="CD58" s="192">
        <v>764</v>
      </c>
      <c r="CE58" s="192">
        <v>423</v>
      </c>
      <c r="CF58" s="192">
        <v>1287</v>
      </c>
      <c r="CG58" s="192">
        <v>833</v>
      </c>
      <c r="CH58" s="192">
        <v>247</v>
      </c>
      <c r="CI58" s="192">
        <v>642</v>
      </c>
      <c r="CJ58" s="192">
        <v>460</v>
      </c>
      <c r="CK58" s="192">
        <v>500</v>
      </c>
      <c r="CL58" s="192">
        <v>290</v>
      </c>
      <c r="CM58" s="192">
        <v>587</v>
      </c>
      <c r="CN58" s="192">
        <v>166</v>
      </c>
      <c r="CO58" s="192">
        <v>1187</v>
      </c>
      <c r="CP58" s="192">
        <v>950</v>
      </c>
      <c r="CQ58" s="193">
        <v>403</v>
      </c>
      <c r="CR58" s="193">
        <v>78</v>
      </c>
      <c r="CS58" s="193">
        <v>0</v>
      </c>
      <c r="CT58" s="193">
        <v>185</v>
      </c>
      <c r="CU58" s="193">
        <v>0</v>
      </c>
      <c r="CV58" s="193">
        <v>173</v>
      </c>
      <c r="CW58" s="193">
        <v>889</v>
      </c>
      <c r="CX58" s="193">
        <v>59</v>
      </c>
      <c r="CY58" s="193">
        <v>222</v>
      </c>
      <c r="CZ58" s="193">
        <v>266</v>
      </c>
      <c r="DA58" s="193">
        <v>132</v>
      </c>
      <c r="DB58" s="193">
        <v>91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696</v>
      </c>
      <c r="D59" s="164">
        <f>SUMIF(WMS용마재고!$A:$A,"S524-00.50-0.75", WMS용마재고!$L:$L)</f>
        <v>826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1496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1291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1893</v>
      </c>
      <c r="M59" s="164">
        <f>SUMIF(WMS용마재고!$A:$A,"S524-02.75-0.75", WMS용마재고!$L:$L)</f>
        <v>1266</v>
      </c>
      <c r="N59" s="164">
        <f>SUMIF(WMS용마재고!$A:$A,"S524-03.00-0.75", WMS용마재고!$L:$L)</f>
        <v>1672</v>
      </c>
      <c r="O59" s="164">
        <f>SUMIF(WMS용마재고!$A:$A,"S524-03.25-0.75", WMS용마재고!$L:$L)</f>
        <v>1656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770</v>
      </c>
      <c r="Y59" s="162"/>
      <c r="Z59" s="164">
        <f>SUMIF(WMS용마재고!$A:$A,"S524-06.00-0.75", WMS용마재고!$L:$L)</f>
        <v>662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696</v>
      </c>
      <c r="AP59" s="191">
        <f>SUMIF(WMS용마재고!$A:$A,"S524-00.50-0.75", WMS용마재고!$L:$L)</f>
        <v>826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1496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1291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1893</v>
      </c>
      <c r="AY59" s="191">
        <f>SUMIF(WMS용마재고!$A:$A,"S524-02.75-0.75", WMS용마재고!$L:$L)</f>
        <v>1266</v>
      </c>
      <c r="AZ59" s="191">
        <f>SUMIF(WMS용마재고!$A:$A,"S524-03.00-0.75", WMS용마재고!$L:$L)</f>
        <v>1672</v>
      </c>
      <c r="BA59" s="191">
        <f>SUMIF(WMS용마재고!$A:$A,"S524-03.25-0.75", WMS용마재고!$L:$L)</f>
        <v>1656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770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662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696</v>
      </c>
      <c r="BZ59" s="192">
        <v>826</v>
      </c>
      <c r="CA59" s="192">
        <v>1112</v>
      </c>
      <c r="CB59" s="192">
        <v>1496</v>
      </c>
      <c r="CC59" s="192">
        <v>1956</v>
      </c>
      <c r="CD59" s="192">
        <v>1291</v>
      </c>
      <c r="CE59" s="192">
        <v>1250</v>
      </c>
      <c r="CF59" s="192">
        <v>1152</v>
      </c>
      <c r="CG59" s="192">
        <v>862</v>
      </c>
      <c r="CH59" s="192">
        <v>1893</v>
      </c>
      <c r="CI59" s="192">
        <v>1266</v>
      </c>
      <c r="CJ59" s="192">
        <v>1672</v>
      </c>
      <c r="CK59" s="192">
        <v>1656</v>
      </c>
      <c r="CL59" s="192">
        <v>1275</v>
      </c>
      <c r="CM59" s="192">
        <v>724</v>
      </c>
      <c r="CN59" s="192">
        <v>598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770</v>
      </c>
      <c r="CU59" s="193">
        <v>0</v>
      </c>
      <c r="CV59" s="193">
        <v>662</v>
      </c>
      <c r="CW59" s="193">
        <v>1990</v>
      </c>
      <c r="CX59" s="193">
        <v>1335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1259</v>
      </c>
      <c r="D60" s="164">
        <f>SUMIF(WMS용마재고!$A:$A,"S524-00.50-1.25", WMS용마재고!$L:$L)</f>
        <v>1266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1540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1202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1795</v>
      </c>
      <c r="K60" s="164">
        <f>SUMIF(WMS용마재고!$A:$A,"S524-02.25-1.25", WMS용마재고!$L:$L)</f>
        <v>1120</v>
      </c>
      <c r="L60" s="164">
        <f>SUMIF(WMS용마재고!$A:$A,"S524-02.50-1.25", WMS용마재고!$L:$L)</f>
        <v>1223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794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1666</v>
      </c>
      <c r="Q60" s="164">
        <f>SUMIF(WMS용마재고!$A:$A,"S524-03.75-1.25", WMS용마재고!$L:$L)</f>
        <v>1504</v>
      </c>
      <c r="R60" s="164">
        <f>SUMIF(WMS용마재고!$A:$A,"S524-04.00-1.25", WMS용마재고!$L:$L)</f>
        <v>2212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1209</v>
      </c>
      <c r="U60" s="164">
        <f>SUMIF(WMS용마재고!$A:$A,"S524-04.75-1.25", WMS용마재고!$L:$L)</f>
        <v>1162</v>
      </c>
      <c r="V60" s="167">
        <f>SUMIF(WMS용마재고!$A:$A,"S524-05.00-1.25", WMS용마재고!$L:$L)</f>
        <v>713</v>
      </c>
      <c r="W60" s="162"/>
      <c r="X60" s="167">
        <f>SUMIF(WMS용마재고!$A:$A,"S524-05.50-1.25", WMS용마재고!$L:$L)</f>
        <v>824</v>
      </c>
      <c r="Y60" s="162"/>
      <c r="Z60" s="164">
        <f>SUMIF(WMS용마재고!$A:$A,"S524-06.00-1.25", WMS용마재고!$L:$L)</f>
        <v>982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866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489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1259</v>
      </c>
      <c r="AP60" s="191">
        <f>SUMIF(WMS용마재고!$A:$A,"S524-00.50-1.25", WMS용마재고!$L:$L)</f>
        <v>1266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1540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1202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1795</v>
      </c>
      <c r="AW60" s="191">
        <f>SUMIF(WMS용마재고!$A:$A,"S524-02.25-1.25", WMS용마재고!$L:$L)</f>
        <v>1120</v>
      </c>
      <c r="AX60" s="191">
        <f>SUMIF(WMS용마재고!$A:$A,"S524-02.50-1.25", WMS용마재고!$L:$L)</f>
        <v>1223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794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1666</v>
      </c>
      <c r="BC60" s="191">
        <f>SUMIF(WMS용마재고!$A:$A,"S524-03.75-1.25", WMS용마재고!$L:$L)</f>
        <v>1504</v>
      </c>
      <c r="BD60" s="191">
        <f>SUMIF(WMS용마재고!$A:$A,"S524-04.00-1.25", WMS용마재고!$L:$L)</f>
        <v>2212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1209</v>
      </c>
      <c r="BG60" s="191">
        <f>SUMIF(WMS용마재고!$A:$A,"S524-04.75-1.25", WMS용마재고!$L:$L)</f>
        <v>1162</v>
      </c>
      <c r="BH60" s="191">
        <f>SUMIF(WMS용마재고!$A:$A,"S524-05.00-1.25", WMS용마재고!$L:$L)</f>
        <v>713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824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982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866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489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1259</v>
      </c>
      <c r="BZ60" s="192">
        <v>1266</v>
      </c>
      <c r="CA60" s="192">
        <v>1159</v>
      </c>
      <c r="CB60" s="192">
        <v>1540</v>
      </c>
      <c r="CC60" s="192">
        <v>1525</v>
      </c>
      <c r="CD60" s="192">
        <v>1202</v>
      </c>
      <c r="CE60" s="192">
        <v>1141</v>
      </c>
      <c r="CF60" s="192">
        <v>1795</v>
      </c>
      <c r="CG60" s="192">
        <v>1120</v>
      </c>
      <c r="CH60" s="192">
        <v>1223</v>
      </c>
      <c r="CI60" s="192">
        <v>1403</v>
      </c>
      <c r="CJ60" s="192">
        <v>794</v>
      </c>
      <c r="CK60" s="192">
        <v>1814</v>
      </c>
      <c r="CL60" s="192">
        <v>1666</v>
      </c>
      <c r="CM60" s="192">
        <v>1504</v>
      </c>
      <c r="CN60" s="192">
        <v>2212</v>
      </c>
      <c r="CO60" s="192">
        <v>1036</v>
      </c>
      <c r="CP60" s="192">
        <v>1209</v>
      </c>
      <c r="CQ60" s="193">
        <v>1162</v>
      </c>
      <c r="CR60" s="193">
        <v>713</v>
      </c>
      <c r="CS60" s="193">
        <v>0</v>
      </c>
      <c r="CT60" s="193">
        <v>824</v>
      </c>
      <c r="CU60" s="193">
        <v>0</v>
      </c>
      <c r="CV60" s="193">
        <v>982</v>
      </c>
      <c r="CW60" s="193">
        <v>1776</v>
      </c>
      <c r="CX60" s="193">
        <v>866</v>
      </c>
      <c r="CY60" s="193">
        <v>528</v>
      </c>
      <c r="CZ60" s="193">
        <v>183</v>
      </c>
      <c r="DA60" s="193">
        <v>141</v>
      </c>
      <c r="DB60" s="193">
        <v>489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1389</v>
      </c>
      <c r="I61" s="164">
        <f>SUMIF(WMS용마재고!$A:$A,"S524-01.75-1.75", WMS용마재고!$L:$L)</f>
        <v>726</v>
      </c>
      <c r="J61" s="164">
        <f>SUMIF(WMS용마재고!$A:$A,"S524-02.00-1.75", WMS용마재고!$L:$L)</f>
        <v>1827</v>
      </c>
      <c r="K61" s="164">
        <f>SUMIF(WMS용마재고!$A:$A,"S524-02.25-1.75", WMS용마재고!$L:$L)</f>
        <v>1198</v>
      </c>
      <c r="L61" s="164">
        <f>SUMIF(WMS용마재고!$A:$A,"S524-02.50-1.75", WMS용마재고!$L:$L)</f>
        <v>932</v>
      </c>
      <c r="M61" s="164">
        <f>SUMIF(WMS용마재고!$A:$A,"S524-02.75-1.75", WMS용마재고!$L:$L)</f>
        <v>807</v>
      </c>
      <c r="N61" s="164">
        <f>SUMIF(WMS용마재고!$A:$A,"S524-03.00-1.75", WMS용마재고!$L:$L)</f>
        <v>754</v>
      </c>
      <c r="O61" s="164">
        <f>SUMIF(WMS용마재고!$A:$A,"S524-03.25-1.75", WMS용마재고!$L:$L)</f>
        <v>912</v>
      </c>
      <c r="P61" s="164">
        <f>SUMIF(WMS용마재고!$A:$A,"S524-03.50-1.75", WMS용마재고!$L:$L)</f>
        <v>813</v>
      </c>
      <c r="Q61" s="164">
        <f>SUMIF(WMS용마재고!$A:$A,"S524-03.75-1.75", WMS용마재고!$L:$L)</f>
        <v>1383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827</v>
      </c>
      <c r="T61" s="164">
        <f>SUMIF(WMS용마재고!$A:$A,"S524-04.50-1.75", WMS용마재고!$L:$L)</f>
        <v>860</v>
      </c>
      <c r="U61" s="164">
        <f>SUMIF(WMS용마재고!$A:$A,"S524-04.75-1.75", WMS용마재고!$L:$L)</f>
        <v>839</v>
      </c>
      <c r="V61" s="167">
        <f>SUMIF(WMS용마재고!$A:$A,"S524-05.00-1.75", WMS용마재고!$L:$L)</f>
        <v>561</v>
      </c>
      <c r="W61" s="162"/>
      <c r="X61" s="167">
        <f>SUMIF(WMS용마재고!$A:$A,"S524-05.50-1.75", WMS용마재고!$L:$L)</f>
        <v>935</v>
      </c>
      <c r="Y61" s="162"/>
      <c r="Z61" s="164">
        <f>SUMIF(WMS용마재고!$A:$A,"S524-06.00-1.75", WMS용마재고!$L:$L)</f>
        <v>417</v>
      </c>
      <c r="AA61" s="164">
        <f>SUMIF(WMS용마재고!$A:$A,"S524-06.50-1.75", WMS용마재고!$L:$L)</f>
        <v>1579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206</v>
      </c>
      <c r="AD61" s="164">
        <f>SUMIF(WMS용마재고!$A:$A,"S524-08.00-1.75", WMS용마재고!$L:$L)</f>
        <v>9</v>
      </c>
      <c r="AE61" s="164">
        <f>SUMIF(WMS용마재고!$A:$A,"S524-08.50-1.75", WMS용마재고!$L:$L)</f>
        <v>16</v>
      </c>
      <c r="AF61" s="167">
        <f>SUMIF(WMS용마재고!$A:$A,"S524-09.00-1.75", WMS용마재고!$L:$L)</f>
        <v>80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1389</v>
      </c>
      <c r="AU61" s="338">
        <f>SUMIF(WMS용마재고!$A:$A,"S524-01.75-1.75", WMS용마재고!$L:$L)</f>
        <v>726</v>
      </c>
      <c r="AV61" s="338">
        <f>SUMIF(WMS용마재고!$A:$A,"S524-02.00-1.75", WMS용마재고!$L:$L)</f>
        <v>1827</v>
      </c>
      <c r="AW61" s="338">
        <f>SUMIF(WMS용마재고!$A:$A,"S524-02.25-1.75", WMS용마재고!$L:$L)</f>
        <v>1198</v>
      </c>
      <c r="AX61" s="338">
        <f>SUMIF(WMS용마재고!$A:$A,"S524-02.50-1.75", WMS용마재고!$L:$L)</f>
        <v>932</v>
      </c>
      <c r="AY61" s="338">
        <f>SUMIF(WMS용마재고!$A:$A,"S524-02.75-1.75", WMS용마재고!$L:$L)</f>
        <v>807</v>
      </c>
      <c r="AZ61" s="338">
        <f>SUMIF(WMS용마재고!$A:$A,"S524-03.00-1.75", WMS용마재고!$L:$L)</f>
        <v>754</v>
      </c>
      <c r="BA61" s="338">
        <f>SUMIF(WMS용마재고!$A:$A,"S524-03.25-1.75", WMS용마재고!$L:$L)</f>
        <v>912</v>
      </c>
      <c r="BB61" s="338">
        <f>SUMIF(WMS용마재고!$A:$A,"S524-03.50-1.75", WMS용마재고!$L:$L)</f>
        <v>813</v>
      </c>
      <c r="BC61" s="338">
        <f>SUMIF(WMS용마재고!$A:$A,"S524-03.75-1.75", WMS용마재고!$L:$L)</f>
        <v>1383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827</v>
      </c>
      <c r="BF61" s="338">
        <f>SUMIF(WMS용마재고!$A:$A,"S524-04.50-1.75", WMS용마재고!$L:$L)</f>
        <v>860</v>
      </c>
      <c r="BG61" s="338">
        <f>SUMIF(WMS용마재고!$A:$A,"S524-04.75-1.75", WMS용마재고!$L:$L)</f>
        <v>839</v>
      </c>
      <c r="BH61" s="338">
        <f>SUMIF(WMS용마재고!$A:$A,"S524-05.00-1.75", WMS용마재고!$L:$L)</f>
        <v>561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935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417</v>
      </c>
      <c r="BM61" s="338">
        <f>SUMIF(WMS용마재고!$A:$A,"S524-06.50-1.75", WMS용마재고!$L:$L)</f>
        <v>1579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206</v>
      </c>
      <c r="BP61" s="338">
        <f>SUMIF(WMS용마재고!$A:$A,"S524-08.00-1.75", WMS용마재고!$L:$L)</f>
        <v>9</v>
      </c>
      <c r="BQ61" s="338">
        <f>SUMIF(WMS용마재고!$A:$A,"S524-08.50-1.75", WMS용마재고!$L:$L)</f>
        <v>16</v>
      </c>
      <c r="BR61" s="338">
        <f>SUMIF(WMS용마재고!$A:$A,"S524-09.00-1.75", WMS용마재고!$L:$L)</f>
        <v>80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516</v>
      </c>
      <c r="BZ61" s="192">
        <v>1164</v>
      </c>
      <c r="CA61" s="192">
        <v>1728</v>
      </c>
      <c r="CB61" s="192">
        <v>997</v>
      </c>
      <c r="CC61" s="192">
        <v>1159</v>
      </c>
      <c r="CD61" s="192">
        <v>1389</v>
      </c>
      <c r="CE61" s="192">
        <v>726</v>
      </c>
      <c r="CF61" s="192">
        <v>1827</v>
      </c>
      <c r="CG61" s="192">
        <v>1198</v>
      </c>
      <c r="CH61" s="192">
        <v>932</v>
      </c>
      <c r="CI61" s="192">
        <v>807</v>
      </c>
      <c r="CJ61" s="192">
        <v>754</v>
      </c>
      <c r="CK61" s="192">
        <v>912</v>
      </c>
      <c r="CL61" s="192">
        <v>813</v>
      </c>
      <c r="CM61" s="192">
        <v>1383</v>
      </c>
      <c r="CN61" s="192">
        <v>1141</v>
      </c>
      <c r="CO61" s="192">
        <v>827</v>
      </c>
      <c r="CP61" s="192">
        <v>860</v>
      </c>
      <c r="CQ61" s="193">
        <v>839</v>
      </c>
      <c r="CR61" s="193">
        <v>561</v>
      </c>
      <c r="CS61" s="193">
        <v>0</v>
      </c>
      <c r="CT61" s="193">
        <v>935</v>
      </c>
      <c r="CU61" s="193">
        <v>0</v>
      </c>
      <c r="CV61" s="193">
        <v>417</v>
      </c>
      <c r="CW61" s="193">
        <v>1579</v>
      </c>
      <c r="CX61" s="193">
        <v>1729</v>
      </c>
      <c r="CY61" s="193">
        <v>206</v>
      </c>
      <c r="CZ61" s="193">
        <v>9</v>
      </c>
      <c r="DA61" s="193">
        <v>16</v>
      </c>
      <c r="DB61" s="193">
        <v>80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2" t="s">
        <v>2923</v>
      </c>
      <c r="B62" s="542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3" t="s">
        <v>6300</v>
      </c>
      <c r="B63" s="544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3960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3960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3961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3961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3962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3962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3963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3963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3964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3964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3965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3965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3966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3966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3967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3967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3968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3968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3969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3969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3970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3970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3971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3971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3972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3972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3973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3973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3974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3974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3" t="s">
        <v>4961</v>
      </c>
      <c r="B79" s="544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84</v>
      </c>
      <c r="G80" s="164">
        <f>SUMIF(WMS용마재고!$A:$A,"S548-01.25", WMS용마재고!$L:$L)</f>
        <v>0</v>
      </c>
      <c r="H80" s="164">
        <f>SUMIF(WMS용마재고!$A:$A,"S548-01.50", WMS용마재고!$L:$L)</f>
        <v>67</v>
      </c>
      <c r="I80" s="164">
        <f>SUMIF(WMS용마재고!$A:$A,"S548-01.75", WMS용마재고!$L:$L)</f>
        <v>155</v>
      </c>
      <c r="J80" s="164">
        <f>SUMIF(WMS용마재고!$A:$A,"S548-02.00", WMS용마재고!$L:$L)</f>
        <v>373</v>
      </c>
      <c r="K80" s="164">
        <f>SUMIF(WMS용마재고!$A:$A,"S548-02.25", WMS용마재고!$L:$L)</f>
        <v>418</v>
      </c>
      <c r="L80" s="164">
        <f>SUMIF(WMS용마재고!$A:$A,"S548-02.50", WMS용마재고!$L:$L)</f>
        <v>164</v>
      </c>
      <c r="M80" s="164">
        <f>SUMIF(WMS용마재고!$A:$A,"S548-02.75", WMS용마재고!$L:$L)</f>
        <v>131</v>
      </c>
      <c r="N80" s="164">
        <f>SUMIF(WMS용마재고!$A:$A,"S548-03.00", WMS용마재고!$L:$L)</f>
        <v>64</v>
      </c>
      <c r="O80" s="164">
        <f>SUMIF(WMS용마재고!$A:$A,"S548-03.25", WMS용마재고!$L:$L)</f>
        <v>76</v>
      </c>
      <c r="P80" s="164">
        <f>SUMIF(WMS용마재고!$A:$A,"S548-03.50", WMS용마재고!$L:$L)</f>
        <v>65</v>
      </c>
      <c r="Q80" s="164">
        <f>SUMIF(WMS용마재고!$A:$A,"S548-03.75", WMS용마재고!$L:$L)</f>
        <v>82</v>
      </c>
      <c r="R80" s="164">
        <f>SUMIF(WMS용마재고!$A:$A,"S548-04.00", WMS용마재고!$L:$L)</f>
        <v>30</v>
      </c>
      <c r="S80" s="164">
        <f>SUMIF(WMS용마재고!$A:$A,"S548-04.25", WMS용마재고!$L:$L)</f>
        <v>149</v>
      </c>
      <c r="T80" s="164">
        <f>SUMIF(WMS용마재고!$A:$A,"S548-04.50", WMS용마재고!$L:$L)</f>
        <v>151</v>
      </c>
      <c r="U80" s="164">
        <f>SUMIF(WMS용마재고!$A:$A,"S548-04.75", WMS용마재고!$L:$L)</f>
        <v>472</v>
      </c>
      <c r="V80" s="164">
        <f>SUMIF(WMS용마재고!$A:$A,"S548-05.00", WMS용마재고!$L:$L)</f>
        <v>124</v>
      </c>
      <c r="W80" s="160"/>
      <c r="X80" s="164">
        <f>SUMIF(WMS용마재고!$A:$A,"S548-05.50", WMS용마재고!$L:$L)</f>
        <v>478</v>
      </c>
      <c r="Y80" s="160"/>
      <c r="Z80" s="164">
        <f>SUMIF(WMS용마재고!$A:$A,"S548-06.00", WMS용마재고!$L:$L)</f>
        <v>608</v>
      </c>
      <c r="AA80" s="164">
        <f>SUMIF(WMS용마재고!$A:$A,"S548-06.50", WMS용마재고!$L:$L)</f>
        <v>771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26</v>
      </c>
      <c r="AE80" s="164">
        <f>SUMIF(WMS용마재고!$A:$A,"S548-08.50", WMS용마재고!$L:$L)</f>
        <v>2</v>
      </c>
      <c r="AF80" s="164">
        <f>SUMIF(WMS용마재고!$A:$A,"S548-09.00", WMS용마재고!$L:$L)</f>
        <v>44</v>
      </c>
      <c r="AG80" s="164">
        <f>SUMIF(WMS용마재고!$A:$A,"S548-09.50", WMS용마재고!$L:$L)</f>
        <v>57</v>
      </c>
      <c r="AH80" s="167">
        <f>SUMIF(WMS용마재고!$A:$A,"S548-10.00", WMS용마재고!$L:$L)</f>
        <v>54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84</v>
      </c>
      <c r="AS80" s="336">
        <f>SUMIF(WMS용마재고!$A:$A,"S548-01.25", WMS용마재고!$L:$L)</f>
        <v>0</v>
      </c>
      <c r="AT80" s="336">
        <f>SUMIF(WMS용마재고!$A:$A,"S548-01.50", WMS용마재고!$L:$L)</f>
        <v>67</v>
      </c>
      <c r="AU80" s="336">
        <f>SUMIF(WMS용마재고!$A:$A,"S548-01.75", WMS용마재고!$L:$L)</f>
        <v>155</v>
      </c>
      <c r="AV80" s="336">
        <f>SUMIF(WMS용마재고!$A:$A,"S548-02.00", WMS용마재고!$L:$L)</f>
        <v>373</v>
      </c>
      <c r="AW80" s="336">
        <f>SUMIF(WMS용마재고!$A:$A,"S548-02.25", WMS용마재고!$L:$L)</f>
        <v>418</v>
      </c>
      <c r="AX80" s="336">
        <f>SUMIF(WMS용마재고!$A:$A,"S548-02.50", WMS용마재고!$L:$L)</f>
        <v>164</v>
      </c>
      <c r="AY80" s="336">
        <f>SUMIF(WMS용마재고!$A:$A,"S548-02.75", WMS용마재고!$L:$L)</f>
        <v>131</v>
      </c>
      <c r="AZ80" s="336">
        <f>SUMIF(WMS용마재고!$A:$A,"S548-03.00", WMS용마재고!$L:$L)</f>
        <v>64</v>
      </c>
      <c r="BA80" s="336">
        <f>SUMIF(WMS용마재고!$A:$A,"S548-03.25", WMS용마재고!$L:$L)</f>
        <v>76</v>
      </c>
      <c r="BB80" s="336">
        <f>SUMIF(WMS용마재고!$A:$A,"S548-03.50", WMS용마재고!$L:$L)</f>
        <v>65</v>
      </c>
      <c r="BC80" s="336">
        <f>SUMIF(WMS용마재고!$A:$A,"S548-03.75", WMS용마재고!$L:$L)</f>
        <v>82</v>
      </c>
      <c r="BD80" s="336">
        <f>SUMIF(WMS용마재고!$A:$A,"S548-04.00", WMS용마재고!$L:$L)</f>
        <v>30</v>
      </c>
      <c r="BE80" s="336">
        <f>SUMIF(WMS용마재고!$A:$A,"S548-04.25", WMS용마재고!$L:$L)</f>
        <v>149</v>
      </c>
      <c r="BF80" s="336">
        <f>SUMIF(WMS용마재고!$A:$A,"S548-04.50", WMS용마재고!$L:$L)</f>
        <v>151</v>
      </c>
      <c r="BG80" s="336">
        <f>SUMIF(WMS용마재고!$A:$A,"S548-04.75", WMS용마재고!$L:$L)</f>
        <v>472</v>
      </c>
      <c r="BH80" s="336">
        <f>SUMIF(WMS용마재고!$A:$A,"S548-05.00", WMS용마재고!$L:$L)</f>
        <v>124</v>
      </c>
      <c r="BI80" s="336">
        <f>SUMIF(WMS용마재고!$A:$A,"S548-05.25", WMS용마재고!$L:$L)</f>
        <v>0</v>
      </c>
      <c r="BJ80" s="336">
        <f>SUMIF(WMS용마재고!$A:$A,"S548-05.50", WMS용마재고!$L:$L)</f>
        <v>478</v>
      </c>
      <c r="BK80" s="336">
        <f>SUMIF(WMS용마재고!$A:$A,"S548-05.75", WMS용마재고!$L:$L)</f>
        <v>0</v>
      </c>
      <c r="BL80" s="336">
        <f>SUMIF(WMS용마재고!$A:$A,"S548-06.00", WMS용마재고!$L:$L)</f>
        <v>608</v>
      </c>
      <c r="BM80" s="336">
        <f>SUMIF(WMS용마재고!$A:$A,"S548-06.50", WMS용마재고!$L:$L)</f>
        <v>771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26</v>
      </c>
      <c r="BQ80" s="336">
        <f>SUMIF(WMS용마재고!$A:$A,"S548-08.50", WMS용마재고!$L:$L)</f>
        <v>2</v>
      </c>
      <c r="BR80" s="336">
        <f>SUMIF(WMS용마재고!$A:$A,"S548-09.00", WMS용마재고!$L:$L)</f>
        <v>44</v>
      </c>
      <c r="BS80" s="336">
        <f>SUMIF(WMS용마재고!$A:$A,"S548-09.50", WMS용마재고!$L:$L)</f>
        <v>57</v>
      </c>
      <c r="BT80" s="336">
        <f>SUMIF(WMS용마재고!$A:$A,"S548-10.00", WMS용마재고!$L:$L)</f>
        <v>54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84</v>
      </c>
      <c r="CC80" s="192">
        <v>0</v>
      </c>
      <c r="CD80" s="192">
        <v>67</v>
      </c>
      <c r="CE80" s="192">
        <v>155</v>
      </c>
      <c r="CF80" s="192">
        <v>373</v>
      </c>
      <c r="CG80" s="192">
        <v>418</v>
      </c>
      <c r="CH80" s="192">
        <v>164</v>
      </c>
      <c r="CI80" s="192">
        <v>131</v>
      </c>
      <c r="CJ80" s="192">
        <v>64</v>
      </c>
      <c r="CK80" s="192">
        <v>76</v>
      </c>
      <c r="CL80" s="192">
        <v>65</v>
      </c>
      <c r="CM80" s="192">
        <v>82</v>
      </c>
      <c r="CN80" s="192">
        <v>30</v>
      </c>
      <c r="CO80" s="192">
        <v>149</v>
      </c>
      <c r="CP80" s="192">
        <v>151</v>
      </c>
      <c r="CQ80" s="193">
        <v>472</v>
      </c>
      <c r="CR80" s="193">
        <v>124</v>
      </c>
      <c r="CS80" s="193">
        <v>0</v>
      </c>
      <c r="CT80" s="193">
        <v>478</v>
      </c>
      <c r="CU80" s="193">
        <v>0</v>
      </c>
      <c r="CV80" s="193">
        <v>608</v>
      </c>
      <c r="CW80" s="193">
        <v>771</v>
      </c>
      <c r="CX80" s="193">
        <v>0</v>
      </c>
      <c r="CY80" s="193">
        <v>0</v>
      </c>
      <c r="CZ80" s="193">
        <v>26</v>
      </c>
      <c r="DA80" s="193">
        <v>2</v>
      </c>
      <c r="DB80" s="193">
        <v>44</v>
      </c>
      <c r="DC80" s="193">
        <v>57</v>
      </c>
      <c r="DD80" s="193">
        <v>54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69</v>
      </c>
      <c r="G81" s="164">
        <f>SUMIF(WMS용마재고!$A:$A,"S547-01.25", WMS용마재고!$L:$L)</f>
        <v>162</v>
      </c>
      <c r="H81" s="164">
        <f>SUMIF(WMS용마재고!$A:$A,"S547-01.50", WMS용마재고!$L:$L)</f>
        <v>484</v>
      </c>
      <c r="I81" s="164">
        <f>SUMIF(WMS용마재고!$A:$A,"S547-01.75", WMS용마재고!$L:$L)</f>
        <v>85</v>
      </c>
      <c r="J81" s="164">
        <f>SUMIF(WMS용마재고!$A:$A,"S547-02.00", WMS용마재고!$L:$L)</f>
        <v>216</v>
      </c>
      <c r="K81" s="164">
        <f>SUMIF(WMS용마재고!$A:$A,"S547-02.25", WMS용마재고!$L:$L)</f>
        <v>274</v>
      </c>
      <c r="L81" s="164">
        <f>SUMIF(WMS용마재고!$A:$A,"S547-02.50", WMS용마재고!$L:$L)</f>
        <v>72</v>
      </c>
      <c r="M81" s="164">
        <f>SUMIF(WMS용마재고!$A:$A,"S547-02.75", WMS용마재고!$L:$L)</f>
        <v>171</v>
      </c>
      <c r="N81" s="164">
        <f>SUMIF(WMS용마재고!$A:$A,"S547-03.00", WMS용마재고!$L:$L)</f>
        <v>299</v>
      </c>
      <c r="O81" s="164">
        <f>SUMIF(WMS용마재고!$A:$A,"S547-03.25", WMS용마재고!$L:$L)</f>
        <v>74</v>
      </c>
      <c r="P81" s="164">
        <f>SUMIF(WMS용마재고!$A:$A,"S547-03.50", WMS용마재고!$L:$L)</f>
        <v>59</v>
      </c>
      <c r="Q81" s="164">
        <f>SUMIF(WMS용마재고!$A:$A,"S547-03.75", WMS용마재고!$L:$L)</f>
        <v>282</v>
      </c>
      <c r="R81" s="164">
        <f>SUMIF(WMS용마재고!$A:$A,"S547-04.00", WMS용마재고!$L:$L)</f>
        <v>299</v>
      </c>
      <c r="S81" s="164">
        <f>SUMIF(WMS용마재고!$A:$A,"S547-04.25", WMS용마재고!$L:$L)</f>
        <v>223</v>
      </c>
      <c r="T81" s="164">
        <f>SUMIF(WMS용마재고!$A:$A,"S547-04.50", WMS용마재고!$L:$L)</f>
        <v>243</v>
      </c>
      <c r="U81" s="164">
        <f>SUMIF(WMS용마재고!$A:$A,"S547-04.75", WMS용마재고!$L:$L)</f>
        <v>446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312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577</v>
      </c>
      <c r="AB81" s="164">
        <f>SUMIF(WMS용마재고!$A:$A,"S547-07.00", WMS용마재고!$L:$L)</f>
        <v>16</v>
      </c>
      <c r="AC81" s="164">
        <f>SUMIF(WMS용마재고!$A:$A,"S547-07.50", WMS용마재고!$L:$L)</f>
        <v>56</v>
      </c>
      <c r="AD81" s="164">
        <f>SUMIF(WMS용마재고!$A:$A,"S547-08.00", WMS용마재고!$L:$L)</f>
        <v>151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69</v>
      </c>
      <c r="AS81" s="191">
        <f>SUMIF(WMS용마재고!$A:$A,"S547-01.25", WMS용마재고!$L:$L)</f>
        <v>162</v>
      </c>
      <c r="AT81" s="191">
        <f>SUMIF(WMS용마재고!$A:$A,"S547-01.50", WMS용마재고!$L:$L)</f>
        <v>484</v>
      </c>
      <c r="AU81" s="191">
        <f>SUMIF(WMS용마재고!$A:$A,"S547-01.75", WMS용마재고!$L:$L)</f>
        <v>85</v>
      </c>
      <c r="AV81" s="191">
        <f>SUMIF(WMS용마재고!$A:$A,"S547-02.00", WMS용마재고!$L:$L)</f>
        <v>216</v>
      </c>
      <c r="AW81" s="191">
        <f>SUMIF(WMS용마재고!$A:$A,"S547-02.25", WMS용마재고!$L:$L)</f>
        <v>274</v>
      </c>
      <c r="AX81" s="191">
        <f>SUMIF(WMS용마재고!$A:$A,"S547-02.50", WMS용마재고!$L:$L)</f>
        <v>72</v>
      </c>
      <c r="AY81" s="191">
        <f>SUMIF(WMS용마재고!$A:$A,"S547-02.75", WMS용마재고!$L:$L)</f>
        <v>171</v>
      </c>
      <c r="AZ81" s="191">
        <f>SUMIF(WMS용마재고!$A:$A,"S547-03.00", WMS용마재고!$L:$L)</f>
        <v>299</v>
      </c>
      <c r="BA81" s="191">
        <f>SUMIF(WMS용마재고!$A:$A,"S547-03.25", WMS용마재고!$L:$L)</f>
        <v>74</v>
      </c>
      <c r="BB81" s="191">
        <f>SUMIF(WMS용마재고!$A:$A,"S547-03.50", WMS용마재고!$L:$L)</f>
        <v>59</v>
      </c>
      <c r="BC81" s="191">
        <f>SUMIF(WMS용마재고!$A:$A,"S547-03.75", WMS용마재고!$L:$L)</f>
        <v>282</v>
      </c>
      <c r="BD81" s="191">
        <f>SUMIF(WMS용마재고!$A:$A,"S547-04.00", WMS용마재고!$L:$L)</f>
        <v>299</v>
      </c>
      <c r="BE81" s="191">
        <f>SUMIF(WMS용마재고!$A:$A,"S547-04.25", WMS용마재고!$L:$L)</f>
        <v>223</v>
      </c>
      <c r="BF81" s="191">
        <f>SUMIF(WMS용마재고!$A:$A,"S547-04.50", WMS용마재고!$L:$L)</f>
        <v>243</v>
      </c>
      <c r="BG81" s="191">
        <f>SUMIF(WMS용마재고!$A:$A,"S547-04.75", WMS용마재고!$L:$L)</f>
        <v>446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312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577</v>
      </c>
      <c r="BN81" s="191">
        <f>SUMIF(WMS용마재고!$A:$A,"S547-07.00", WMS용마재고!$L:$L)</f>
        <v>16</v>
      </c>
      <c r="BO81" s="191">
        <f>SUMIF(WMS용마재고!$A:$A,"S547-07.50", WMS용마재고!$L:$L)</f>
        <v>56</v>
      </c>
      <c r="BP81" s="191">
        <f>SUMIF(WMS용마재고!$A:$A,"S547-08.00", WMS용마재고!$L:$L)</f>
        <v>151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69</v>
      </c>
      <c r="CC81" s="192">
        <v>162</v>
      </c>
      <c r="CD81" s="192">
        <v>484</v>
      </c>
      <c r="CE81" s="192">
        <v>85</v>
      </c>
      <c r="CF81" s="192">
        <v>216</v>
      </c>
      <c r="CG81" s="192">
        <v>274</v>
      </c>
      <c r="CH81" s="192">
        <v>72</v>
      </c>
      <c r="CI81" s="192">
        <v>171</v>
      </c>
      <c r="CJ81" s="192">
        <v>299</v>
      </c>
      <c r="CK81" s="192">
        <v>74</v>
      </c>
      <c r="CL81" s="192">
        <v>59</v>
      </c>
      <c r="CM81" s="192">
        <v>282</v>
      </c>
      <c r="CN81" s="192">
        <v>299</v>
      </c>
      <c r="CO81" s="192">
        <v>223</v>
      </c>
      <c r="CP81" s="192">
        <v>243</v>
      </c>
      <c r="CQ81" s="193">
        <v>446</v>
      </c>
      <c r="CR81" s="193">
        <v>293</v>
      </c>
      <c r="CS81" s="193">
        <v>0</v>
      </c>
      <c r="CT81" s="193">
        <v>312</v>
      </c>
      <c r="CU81" s="193">
        <v>0</v>
      </c>
      <c r="CV81" s="193">
        <v>461</v>
      </c>
      <c r="CW81" s="193">
        <v>577</v>
      </c>
      <c r="CX81" s="193">
        <v>16</v>
      </c>
      <c r="CY81" s="193">
        <v>56</v>
      </c>
      <c r="CZ81" s="193">
        <v>151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1315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946</v>
      </c>
      <c r="G82" s="164">
        <f>SUMIF(WMS용마재고!$A:$A,"s610-01.25", WMS용마재고!$L:$L)</f>
        <v>1391</v>
      </c>
      <c r="H82" s="164">
        <f>SUMIF(WMS용마재고!$A:$A,"s610-01.50", WMS용마재고!$L:$L)</f>
        <v>1634</v>
      </c>
      <c r="I82" s="164">
        <f>SUMIF(WMS용마재고!$A:$A,"s610-01.75", WMS용마재고!$L:$L)</f>
        <v>1254</v>
      </c>
      <c r="J82" s="164">
        <f>SUMIF(WMS용마재고!$A:$A,"s610-02.00", WMS용마재고!$L:$L)</f>
        <v>3095</v>
      </c>
      <c r="K82" s="164">
        <f>SUMIF(WMS용마재고!$A:$A,"s610-02.25", WMS용마재고!$L:$L)</f>
        <v>1059</v>
      </c>
      <c r="L82" s="164">
        <f>SUMIF(WMS용마재고!$A:$A,"s610-02.50", WMS용마재고!$L:$L)</f>
        <v>3663</v>
      </c>
      <c r="M82" s="164">
        <f>SUMIF(WMS용마재고!$A:$A,"s610-02.75", WMS용마재고!$L:$L)</f>
        <v>902</v>
      </c>
      <c r="N82" s="164">
        <f>SUMIF(WMS용마재고!$A:$A,"s610-03.00", WMS용마재고!$L:$L)</f>
        <v>1684</v>
      </c>
      <c r="O82" s="164">
        <f>SUMIF(WMS용마재고!$A:$A,"s610-03.25", WMS용마재고!$L:$L)</f>
        <v>1640</v>
      </c>
      <c r="P82" s="164">
        <f>SUMIF(WMS용마재고!$A:$A,"s610-03.50", WMS용마재고!$L:$L)</f>
        <v>1875</v>
      </c>
      <c r="Q82" s="164">
        <f>SUMIF(WMS용마재고!$A:$A,"s610-03.75", WMS용마재고!$L:$L)</f>
        <v>1066</v>
      </c>
      <c r="R82" s="164">
        <f>SUMIF(WMS용마재고!$A:$A,"s610-04.00", WMS용마재고!$L:$L)</f>
        <v>2126</v>
      </c>
      <c r="S82" s="164">
        <f>SUMIF(WMS용마재고!$A:$A,"s610-04.25", WMS용마재고!$L:$L)</f>
        <v>1814</v>
      </c>
      <c r="T82" s="164">
        <f>SUMIF(WMS용마재고!$A:$A,"s610-04.50", WMS용마재고!$L:$L)</f>
        <v>2235</v>
      </c>
      <c r="U82" s="164">
        <f>SUMIF(WMS용마재고!$A:$A,"s610-04.75", WMS용마재고!$L:$L)</f>
        <v>1992</v>
      </c>
      <c r="V82" s="164">
        <f>SUMIF(WMS용마재고!$A:$A,"s610-05.00", WMS용마재고!$L:$L)</f>
        <v>1181</v>
      </c>
      <c r="W82" s="164">
        <f>SUMIF(WMS용마재고!$A:$A,"s610-05.25", WMS용마재고!$L:$L)</f>
        <v>1239</v>
      </c>
      <c r="X82" s="164">
        <f>SUMIF(WMS용마재고!$A:$A,"s610-05.50", WMS용마재고!$L:$L)</f>
        <v>1398</v>
      </c>
      <c r="Y82" s="164">
        <f>SUMIF(WMS용마재고!$A:$A,"s610-05.75", WMS용마재고!$L:$L)</f>
        <v>1467</v>
      </c>
      <c r="Z82" s="164">
        <f>SUMIF(WMS용마재고!$A:$A,"s610-06.00", WMS용마재고!$L:$L)</f>
        <v>1003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1315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946</v>
      </c>
      <c r="AS82" s="191">
        <f>SUMIF(WMS용마재고!$A:$A,"s610-01.25", WMS용마재고!$L:$L)</f>
        <v>1391</v>
      </c>
      <c r="AT82" s="191">
        <f>SUMIF(WMS용마재고!$A:$A,"s610-01.50", WMS용마재고!$L:$L)</f>
        <v>1634</v>
      </c>
      <c r="AU82" s="191">
        <f>SUMIF(WMS용마재고!$A:$A,"s610-01.75", WMS용마재고!$L:$L)</f>
        <v>1254</v>
      </c>
      <c r="AV82" s="191">
        <f>SUMIF(WMS용마재고!$A:$A,"s610-02.00", WMS용마재고!$L:$L)</f>
        <v>3095</v>
      </c>
      <c r="AW82" s="191">
        <f>SUMIF(WMS용마재고!$A:$A,"s610-02.25", WMS용마재고!$L:$L)</f>
        <v>1059</v>
      </c>
      <c r="AX82" s="191">
        <f>SUMIF(WMS용마재고!$A:$A,"s610-02.50", WMS용마재고!$L:$L)</f>
        <v>3663</v>
      </c>
      <c r="AY82" s="191">
        <f>SUMIF(WMS용마재고!$A:$A,"s610-02.75", WMS용마재고!$L:$L)</f>
        <v>902</v>
      </c>
      <c r="AZ82" s="191">
        <f>SUMIF(WMS용마재고!$A:$A,"s610-03.00", WMS용마재고!$L:$L)</f>
        <v>1684</v>
      </c>
      <c r="BA82" s="191">
        <f>SUMIF(WMS용마재고!$A:$A,"s610-03.25", WMS용마재고!$L:$L)</f>
        <v>1640</v>
      </c>
      <c r="BB82" s="191">
        <f>SUMIF(WMS용마재고!$A:$A,"s610-03.50", WMS용마재고!$L:$L)</f>
        <v>1875</v>
      </c>
      <c r="BC82" s="191">
        <f>SUMIF(WMS용마재고!$A:$A,"s610-03.75", WMS용마재고!$L:$L)</f>
        <v>1066</v>
      </c>
      <c r="BD82" s="191">
        <f>SUMIF(WMS용마재고!$A:$A,"s610-04.00", WMS용마재고!$L:$L)</f>
        <v>2126</v>
      </c>
      <c r="BE82" s="191">
        <f>SUMIF(WMS용마재고!$A:$A,"s610-04.25", WMS용마재고!$L:$L)</f>
        <v>1814</v>
      </c>
      <c r="BF82" s="191">
        <f>SUMIF(WMS용마재고!$A:$A,"s610-04.50", WMS용마재고!$L:$L)</f>
        <v>2235</v>
      </c>
      <c r="BG82" s="191">
        <f>SUMIF(WMS용마재고!$A:$A,"s610-04.75", WMS용마재고!$L:$L)</f>
        <v>1992</v>
      </c>
      <c r="BH82" s="191">
        <f>SUMIF(WMS용마재고!$A:$A,"s610-05.00", WMS용마재고!$L:$L)</f>
        <v>1181</v>
      </c>
      <c r="BI82" s="191">
        <f>SUMIF(WMS용마재고!$A:$A,"s610-05.25", WMS용마재고!$L:$L)</f>
        <v>1239</v>
      </c>
      <c r="BJ82" s="191">
        <f>SUMIF(WMS용마재고!$A:$A,"s610-05.50", WMS용마재고!$L:$L)</f>
        <v>1398</v>
      </c>
      <c r="BK82" s="191">
        <f>SUMIF(WMS용마재고!$A:$A,"s610-05.75", WMS용마재고!$L:$L)</f>
        <v>1467</v>
      </c>
      <c r="BL82" s="191">
        <f>SUMIF(WMS용마재고!$A:$A,"s610-06.00", WMS용마재고!$L:$L)</f>
        <v>1003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1315</v>
      </c>
      <c r="BZ82" s="192">
        <v>1874</v>
      </c>
      <c r="CA82" s="192">
        <v>1702</v>
      </c>
      <c r="CB82" s="192">
        <v>946</v>
      </c>
      <c r="CC82" s="192">
        <v>1391</v>
      </c>
      <c r="CD82" s="192">
        <v>1634</v>
      </c>
      <c r="CE82" s="192">
        <v>1254</v>
      </c>
      <c r="CF82" s="192">
        <v>3095</v>
      </c>
      <c r="CG82" s="192">
        <v>1059</v>
      </c>
      <c r="CH82" s="192">
        <v>3663</v>
      </c>
      <c r="CI82" s="192">
        <v>902</v>
      </c>
      <c r="CJ82" s="192">
        <v>1684</v>
      </c>
      <c r="CK82" s="192">
        <v>1640</v>
      </c>
      <c r="CL82" s="192">
        <v>1875</v>
      </c>
      <c r="CM82" s="192">
        <v>1066</v>
      </c>
      <c r="CN82" s="192">
        <v>2126</v>
      </c>
      <c r="CO82" s="192">
        <v>1814</v>
      </c>
      <c r="CP82" s="192">
        <v>2235</v>
      </c>
      <c r="CQ82" s="193">
        <v>1992</v>
      </c>
      <c r="CR82" s="193">
        <v>1181</v>
      </c>
      <c r="CS82" s="193">
        <v>1239</v>
      </c>
      <c r="CT82" s="193">
        <v>1398</v>
      </c>
      <c r="CU82" s="193">
        <v>1467</v>
      </c>
      <c r="CV82" s="193">
        <v>1003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69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288</v>
      </c>
      <c r="H83" s="164">
        <f>SUMIF(WMS용마재고!$A:$A,"s611-01.50", WMS용마재고!$L:$L)</f>
        <v>279</v>
      </c>
      <c r="I83" s="164">
        <f>SUMIF(WMS용마재고!$A:$A,"s611-01.75", WMS용마재고!$L:$L)</f>
        <v>65</v>
      </c>
      <c r="J83" s="164">
        <f>SUMIF(WMS용마재고!$A:$A,"s611-02.00", WMS용마재고!$L:$L)</f>
        <v>1352</v>
      </c>
      <c r="K83" s="164">
        <f>SUMIF(WMS용마재고!$A:$A,"s611-02.25", WMS용마재고!$L:$L)</f>
        <v>181</v>
      </c>
      <c r="L83" s="164">
        <f>SUMIF(WMS용마재고!$A:$A,"s611-02.50", WMS용마재고!$L:$L)</f>
        <v>1257</v>
      </c>
      <c r="M83" s="164">
        <f>SUMIF(WMS용마재고!$A:$A,"s611-02.75", WMS용마재고!$L:$L)</f>
        <v>100</v>
      </c>
      <c r="N83" s="164">
        <f>SUMIF(WMS용마재고!$A:$A,"s611-03.00", WMS용마재고!$L:$L)</f>
        <v>108</v>
      </c>
      <c r="O83" s="164">
        <f>SUMIF(WMS용마재고!$A:$A,"s611-03.25", WMS용마재고!$L:$L)</f>
        <v>20</v>
      </c>
      <c r="P83" s="164">
        <f>SUMIF(WMS용마재고!$A:$A,"s611-03.50", WMS용마재고!$L:$L)</f>
        <v>20</v>
      </c>
      <c r="Q83" s="164">
        <f>SUMIF(WMS용마재고!$A:$A,"s611-03.75", WMS용마재고!$L:$L)</f>
        <v>30</v>
      </c>
      <c r="R83" s="164">
        <f>SUMIF(WMS용마재고!$A:$A,"s611-04.00", WMS용마재고!$L:$L)</f>
        <v>76</v>
      </c>
      <c r="S83" s="164">
        <f>SUMIF(WMS용마재고!$A:$A,"s611-04.25", WMS용마재고!$L:$L)</f>
        <v>382</v>
      </c>
      <c r="T83" s="164">
        <f>SUMIF(WMS용마재고!$A:$A,"s611-04.50", WMS용마재고!$L:$L)</f>
        <v>423</v>
      </c>
      <c r="U83" s="164">
        <f>SUMIF(WMS용마재고!$A:$A,"s611-04.75", WMS용마재고!$L:$L)</f>
        <v>314</v>
      </c>
      <c r="V83" s="164">
        <f>SUMIF(WMS용마재고!$A:$A,"s611-05.00", WMS용마재고!$L:$L)</f>
        <v>55</v>
      </c>
      <c r="W83" s="164">
        <f>SUMIF(WMS용마재고!$A:$A,"s611-05.25", WMS용마재고!$L:$L)</f>
        <v>580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107</v>
      </c>
      <c r="AA83" s="164">
        <f>SUMIF(WMS용마재고!$A:$A,"s611-06.50", WMS용마재고!$L:$L)</f>
        <v>206</v>
      </c>
      <c r="AB83" s="164">
        <f>SUMIF(WMS용마재고!$A:$A,"s611-07.00", WMS용마재고!$L:$L)</f>
        <v>322</v>
      </c>
      <c r="AC83" s="164">
        <f>SUMIF(WMS용마재고!$A:$A,"s611-07.50", WMS용마재고!$L:$L)</f>
        <v>529</v>
      </c>
      <c r="AD83" s="164">
        <f>SUMIF(WMS용마재고!$A:$A,"s611-08.00", WMS용마재고!$L:$L)</f>
        <v>481</v>
      </c>
      <c r="AE83" s="164">
        <f>SUMIF(WMS용마재고!$A:$A,"s611-08.50", WMS용마재고!$L:$L)</f>
        <v>1237</v>
      </c>
      <c r="AF83" s="167">
        <f>SUMIF(WMS용마재고!$A:$A,"s611-09.00", WMS용마재고!$L:$L)</f>
        <v>658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69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288</v>
      </c>
      <c r="AT83" s="191">
        <f>SUMIF(WMS용마재고!$A:$A,"s611-01.50", WMS용마재고!$L:$L)</f>
        <v>279</v>
      </c>
      <c r="AU83" s="191">
        <f>SUMIF(WMS용마재고!$A:$A,"s611-01.75", WMS용마재고!$L:$L)</f>
        <v>65</v>
      </c>
      <c r="AV83" s="191">
        <f>SUMIF(WMS용마재고!$A:$A,"s611-02.00", WMS용마재고!$L:$L)</f>
        <v>1352</v>
      </c>
      <c r="AW83" s="191">
        <f>SUMIF(WMS용마재고!$A:$A,"s611-02.25", WMS용마재고!$L:$L)</f>
        <v>181</v>
      </c>
      <c r="AX83" s="191">
        <f>SUMIF(WMS용마재고!$A:$A,"s611-02.50", WMS용마재고!$L:$L)</f>
        <v>1257</v>
      </c>
      <c r="AY83" s="191">
        <f>SUMIF(WMS용마재고!$A:$A,"s611-02.75", WMS용마재고!$L:$L)</f>
        <v>100</v>
      </c>
      <c r="AZ83" s="191">
        <f>SUMIF(WMS용마재고!$A:$A,"s611-03.00", WMS용마재고!$L:$L)</f>
        <v>108</v>
      </c>
      <c r="BA83" s="191">
        <f>SUMIF(WMS용마재고!$A:$A,"s611-03.25", WMS용마재고!$L:$L)</f>
        <v>20</v>
      </c>
      <c r="BB83" s="191">
        <f>SUMIF(WMS용마재고!$A:$A,"s611-03.50", WMS용마재고!$L:$L)</f>
        <v>20</v>
      </c>
      <c r="BC83" s="191">
        <f>SUMIF(WMS용마재고!$A:$A,"s611-03.75", WMS용마재고!$L:$L)</f>
        <v>30</v>
      </c>
      <c r="BD83" s="191">
        <f>SUMIF(WMS용마재고!$A:$A,"s611-04.00", WMS용마재고!$L:$L)</f>
        <v>76</v>
      </c>
      <c r="BE83" s="191">
        <f>SUMIF(WMS용마재고!$A:$A,"s611-04.25", WMS용마재고!$L:$L)</f>
        <v>382</v>
      </c>
      <c r="BF83" s="191">
        <f>SUMIF(WMS용마재고!$A:$A,"s611-04.50", WMS용마재고!$L:$L)</f>
        <v>423</v>
      </c>
      <c r="BG83" s="191">
        <f>SUMIF(WMS용마재고!$A:$A,"s611-04.75", WMS용마재고!$L:$L)</f>
        <v>314</v>
      </c>
      <c r="BH83" s="191">
        <f>SUMIF(WMS용마재고!$A:$A,"s611-05.00", WMS용마재고!$L:$L)</f>
        <v>55</v>
      </c>
      <c r="BI83" s="191">
        <f>SUMIF(WMS용마재고!$A:$A,"s611-05.25", WMS용마재고!$L:$L)</f>
        <v>580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107</v>
      </c>
      <c r="BM83" s="191">
        <f>SUMIF(WMS용마재고!$A:$A,"s611-06.50", WMS용마재고!$L:$L)</f>
        <v>206</v>
      </c>
      <c r="BN83" s="191">
        <f>SUMIF(WMS용마재고!$A:$A,"s611-07.00", WMS용마재고!$L:$L)</f>
        <v>322</v>
      </c>
      <c r="BO83" s="191">
        <f>SUMIF(WMS용마재고!$A:$A,"s611-07.50", WMS용마재고!$L:$L)</f>
        <v>529</v>
      </c>
      <c r="BP83" s="191">
        <f>SUMIF(WMS용마재고!$A:$A,"s611-08.00", WMS용마재고!$L:$L)</f>
        <v>481</v>
      </c>
      <c r="BQ83" s="191">
        <f>SUMIF(WMS용마재고!$A:$A,"s611-08.50", WMS용마재고!$L:$L)</f>
        <v>1237</v>
      </c>
      <c r="BR83" s="191">
        <f>SUMIF(WMS용마재고!$A:$A,"s611-09.00", WMS용마재고!$L:$L)</f>
        <v>658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69</v>
      </c>
      <c r="BZ83" s="192">
        <v>1272</v>
      </c>
      <c r="CA83" s="192">
        <v>1487</v>
      </c>
      <c r="CB83" s="192">
        <v>237</v>
      </c>
      <c r="CC83" s="192">
        <v>288</v>
      </c>
      <c r="CD83" s="192">
        <v>279</v>
      </c>
      <c r="CE83" s="192">
        <v>65</v>
      </c>
      <c r="CF83" s="192">
        <v>1352</v>
      </c>
      <c r="CG83" s="192">
        <v>181</v>
      </c>
      <c r="CH83" s="192">
        <v>1257</v>
      </c>
      <c r="CI83" s="192">
        <v>100</v>
      </c>
      <c r="CJ83" s="192">
        <v>108</v>
      </c>
      <c r="CK83" s="192">
        <v>20</v>
      </c>
      <c r="CL83" s="192">
        <v>20</v>
      </c>
      <c r="CM83" s="192">
        <v>30</v>
      </c>
      <c r="CN83" s="192">
        <v>76</v>
      </c>
      <c r="CO83" s="192">
        <v>382</v>
      </c>
      <c r="CP83" s="192">
        <v>423</v>
      </c>
      <c r="CQ83" s="193">
        <v>314</v>
      </c>
      <c r="CR83" s="193">
        <v>55</v>
      </c>
      <c r="CS83" s="193">
        <v>580</v>
      </c>
      <c r="CT83" s="193">
        <v>94</v>
      </c>
      <c r="CU83" s="193">
        <v>1116</v>
      </c>
      <c r="CV83" s="193">
        <v>107</v>
      </c>
      <c r="CW83" s="193">
        <v>206</v>
      </c>
      <c r="CX83" s="193">
        <v>322</v>
      </c>
      <c r="CY83" s="193">
        <v>529</v>
      </c>
      <c r="CZ83" s="193">
        <v>481</v>
      </c>
      <c r="DA83" s="193">
        <v>1237</v>
      </c>
      <c r="DB83" s="193">
        <v>658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956</v>
      </c>
      <c r="D84" s="164">
        <f>SUMIF(WMS용마재고!$A:$A,"s609-00.50", WMS용마재고!$L:$L)</f>
        <v>2003</v>
      </c>
      <c r="E84" s="164">
        <f>SUMIF(WMS용마재고!$A:$A,"s609-00.75", WMS용마재고!$L:$L)</f>
        <v>1730</v>
      </c>
      <c r="F84" s="164">
        <f>SUMIF(WMS용마재고!$A:$A,"s609-01.00", WMS용마재고!$L:$L)</f>
        <v>1196</v>
      </c>
      <c r="G84" s="164">
        <f>SUMIF(WMS용마재고!$A:$A,"s609-01.25", WMS용마재고!$L:$L)</f>
        <v>1100</v>
      </c>
      <c r="H84" s="164">
        <f>SUMIF(WMS용마재고!$A:$A,"s609-01.50", WMS용마재고!$L:$L)</f>
        <v>1002</v>
      </c>
      <c r="I84" s="164">
        <f>SUMIF(WMS용마재고!$A:$A,"s609-01.75", WMS용마재고!$L:$L)</f>
        <v>995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3080</v>
      </c>
      <c r="M84" s="164">
        <f>SUMIF(WMS용마재고!$A:$A,"s609-02.75", WMS용마재고!$L:$L)</f>
        <v>788</v>
      </c>
      <c r="N84" s="164">
        <f>SUMIF(WMS용마재고!$A:$A,"s609-03.00", WMS용마재고!$L:$L)</f>
        <v>1286</v>
      </c>
      <c r="O84" s="164">
        <f>SUMIF(WMS용마재고!$A:$A,"s609-03.25", WMS용마재고!$L:$L)</f>
        <v>906</v>
      </c>
      <c r="P84" s="164">
        <f>SUMIF(WMS용마재고!$A:$A,"s609-03.50", WMS용마재고!$L:$L)</f>
        <v>1348</v>
      </c>
      <c r="Q84" s="164">
        <f>SUMIF(WMS용마재고!$A:$A,"s609-03.75", WMS용마재고!$L:$L)</f>
        <v>782</v>
      </c>
      <c r="R84" s="164">
        <f>SUMIF(WMS용마재고!$A:$A,"s609-04.00", WMS용마재고!$L:$L)</f>
        <v>1445</v>
      </c>
      <c r="S84" s="164">
        <f>SUMIF(WMS용마재고!$A:$A,"s609-04.25", WMS용마재고!$L:$L)</f>
        <v>1465</v>
      </c>
      <c r="T84" s="164">
        <f>SUMIF(WMS용마재고!$A:$A,"s609-04.50", WMS용마재고!$L:$L)</f>
        <v>1956</v>
      </c>
      <c r="U84" s="164">
        <f>SUMIF(WMS용마재고!$A:$A,"s609-04.75", WMS용마재고!$L:$L)</f>
        <v>1675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374</v>
      </c>
      <c r="Y84" s="164">
        <f>SUMIF(WMS용마재고!$A:$A,"s609-05.75", WMS용마재고!$L:$L)</f>
        <v>1481</v>
      </c>
      <c r="Z84" s="164">
        <f>SUMIF(WMS용마재고!$A:$A,"s609-06.00", WMS용마재고!$L:$L)</f>
        <v>698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956</v>
      </c>
      <c r="AP84" s="191">
        <f>SUMIF(WMS용마재고!$A:$A,"s609-00.50", WMS용마재고!$L:$L)</f>
        <v>2003</v>
      </c>
      <c r="AQ84" s="191">
        <f>SUMIF(WMS용마재고!$A:$A,"s609-00.75", WMS용마재고!$L:$L)</f>
        <v>1730</v>
      </c>
      <c r="AR84" s="191">
        <f>SUMIF(WMS용마재고!$A:$A,"s609-01.00", WMS용마재고!$L:$L)</f>
        <v>1196</v>
      </c>
      <c r="AS84" s="191">
        <f>SUMIF(WMS용마재고!$A:$A,"s609-01.25", WMS용마재고!$L:$L)</f>
        <v>1100</v>
      </c>
      <c r="AT84" s="191">
        <f>SUMIF(WMS용마재고!$A:$A,"s609-01.50", WMS용마재고!$L:$L)</f>
        <v>1002</v>
      </c>
      <c r="AU84" s="191">
        <f>SUMIF(WMS용마재고!$A:$A,"s609-01.75", WMS용마재고!$L:$L)</f>
        <v>995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3080</v>
      </c>
      <c r="AY84" s="191">
        <f>SUMIF(WMS용마재고!$A:$A,"s609-02.75", WMS용마재고!$L:$L)</f>
        <v>788</v>
      </c>
      <c r="AZ84" s="191">
        <f>SUMIF(WMS용마재고!$A:$A,"s609-03.00", WMS용마재고!$L:$L)</f>
        <v>1286</v>
      </c>
      <c r="BA84" s="191">
        <f>SUMIF(WMS용마재고!$A:$A,"s609-03.25", WMS용마재고!$L:$L)</f>
        <v>906</v>
      </c>
      <c r="BB84" s="191">
        <f>SUMIF(WMS용마재고!$A:$A,"s609-03.50", WMS용마재고!$L:$L)</f>
        <v>1348</v>
      </c>
      <c r="BC84" s="191">
        <f>SUMIF(WMS용마재고!$A:$A,"s609-03.75", WMS용마재고!$L:$L)</f>
        <v>782</v>
      </c>
      <c r="BD84" s="191">
        <f>SUMIF(WMS용마재고!$A:$A,"s609-04.00", WMS용마재고!$L:$L)</f>
        <v>1445</v>
      </c>
      <c r="BE84" s="191">
        <f>SUMIF(WMS용마재고!$A:$A,"s609-04.25", WMS용마재고!$L:$L)</f>
        <v>1465</v>
      </c>
      <c r="BF84" s="191">
        <f>SUMIF(WMS용마재고!$A:$A,"s609-04.50", WMS용마재고!$L:$L)</f>
        <v>1956</v>
      </c>
      <c r="BG84" s="191">
        <f>SUMIF(WMS용마재고!$A:$A,"s609-04.75", WMS용마재고!$L:$L)</f>
        <v>1675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374</v>
      </c>
      <c r="BK84" s="191">
        <f>SUMIF(WMS용마재고!$A:$A,"s609-05.75", WMS용마재고!$L:$L)</f>
        <v>1481</v>
      </c>
      <c r="BL84" s="191">
        <f>SUMIF(WMS용마재고!$A:$A,"s609-06.00", WMS용마재고!$L:$L)</f>
        <v>698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956</v>
      </c>
      <c r="BZ84" s="192">
        <v>2003</v>
      </c>
      <c r="CA84" s="192">
        <v>1730</v>
      </c>
      <c r="CB84" s="192">
        <v>1196</v>
      </c>
      <c r="CC84" s="192">
        <v>1100</v>
      </c>
      <c r="CD84" s="192">
        <v>1002</v>
      </c>
      <c r="CE84" s="192">
        <v>995</v>
      </c>
      <c r="CF84" s="192">
        <v>2722</v>
      </c>
      <c r="CG84" s="192">
        <v>1041</v>
      </c>
      <c r="CH84" s="192">
        <v>3080</v>
      </c>
      <c r="CI84" s="192">
        <v>788</v>
      </c>
      <c r="CJ84" s="192">
        <v>1286</v>
      </c>
      <c r="CK84" s="192">
        <v>906</v>
      </c>
      <c r="CL84" s="192">
        <v>1348</v>
      </c>
      <c r="CM84" s="192">
        <v>782</v>
      </c>
      <c r="CN84" s="192">
        <v>1445</v>
      </c>
      <c r="CO84" s="192">
        <v>1465</v>
      </c>
      <c r="CP84" s="192">
        <v>1956</v>
      </c>
      <c r="CQ84" s="193">
        <v>1675</v>
      </c>
      <c r="CR84" s="193">
        <v>1011</v>
      </c>
      <c r="CS84" s="193">
        <v>1250</v>
      </c>
      <c r="CT84" s="193">
        <v>374</v>
      </c>
      <c r="CU84" s="193">
        <v>1481</v>
      </c>
      <c r="CV84" s="193">
        <v>698</v>
      </c>
      <c r="CW84" s="193">
        <v>915</v>
      </c>
      <c r="CX84" s="193">
        <v>727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4031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2208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1720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1662</v>
      </c>
      <c r="AE85" s="164">
        <f>SUMIF(WMS용마재고!$A:$A,"S612-08.50", WMS용마재고!$L:$L)</f>
        <v>1738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4031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2208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1720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1662</v>
      </c>
      <c r="BQ85" s="191">
        <f>SUMIF(WMS용마재고!$A:$A,"S612-08.50", WMS용마재고!$L:$L)</f>
        <v>1738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2112</v>
      </c>
      <c r="CD85" s="192">
        <v>2229</v>
      </c>
      <c r="CE85" s="192">
        <v>1716</v>
      </c>
      <c r="CF85" s="192">
        <v>4031</v>
      </c>
      <c r="CG85" s="192">
        <v>1952</v>
      </c>
      <c r="CH85" s="192">
        <v>4261</v>
      </c>
      <c r="CI85" s="192">
        <v>2039</v>
      </c>
      <c r="CJ85" s="192">
        <v>2314</v>
      </c>
      <c r="CK85" s="192">
        <v>2208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1395</v>
      </c>
      <c r="CW85" s="193">
        <v>1720</v>
      </c>
      <c r="CX85" s="193">
        <v>1260</v>
      </c>
      <c r="CY85" s="193">
        <v>1590</v>
      </c>
      <c r="CZ85" s="193">
        <v>1662</v>
      </c>
      <c r="DA85" s="193">
        <v>1738</v>
      </c>
      <c r="DB85" s="193">
        <v>1564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3236</v>
      </c>
      <c r="T86" s="164">
        <f>SUMIF(WMS용마재고!$A:$A,"S613-04.50", WMS용마재고!$L:$L)</f>
        <v>3437</v>
      </c>
      <c r="U86" s="164">
        <f>SUMIF(WMS용마재고!$A:$A,"S613-04.75", WMS용마재고!$L:$L)</f>
        <v>3069</v>
      </c>
      <c r="V86" s="164">
        <f>SUMIF(WMS용마재고!$A:$A,"S613-05.00", WMS용마재고!$L:$L)</f>
        <v>2947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3236</v>
      </c>
      <c r="BF86" s="338">
        <f>SUMIF(WMS용마재고!$A:$A,"S613-04.50", WMS용마재고!$L:$L)</f>
        <v>3437</v>
      </c>
      <c r="BG86" s="338">
        <f>SUMIF(WMS용마재고!$A:$A,"S613-04.75", WMS용마재고!$L:$L)</f>
        <v>3069</v>
      </c>
      <c r="BH86" s="338">
        <f>SUMIF(WMS용마재고!$A:$A,"S613-05.00", WMS용마재고!$L:$L)</f>
        <v>2947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3236</v>
      </c>
      <c r="CP86" s="192">
        <v>3437</v>
      </c>
      <c r="CQ86" s="193">
        <v>3069</v>
      </c>
      <c r="CR86" s="193">
        <v>2947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2" t="s">
        <v>3413</v>
      </c>
      <c r="B87" s="542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3" t="s">
        <v>4962</v>
      </c>
      <c r="B88" s="544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287</v>
      </c>
      <c r="D89" s="164">
        <f>SUMIF(WMS용마재고!$A:$A,"S147-00.50-0.75", WMS용마재고!$L:$L)</f>
        <v>940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183</v>
      </c>
      <c r="G89" s="164">
        <f>SUMIF(WMS용마재고!$A:$A,"S147-01.25-0.75", WMS용마재고!$L:$L)</f>
        <v>527</v>
      </c>
      <c r="H89" s="164">
        <f>SUMIF(WMS용마재고!$A:$A,"S147-01.50-0.75", WMS용마재고!$L:$L)</f>
        <v>137</v>
      </c>
      <c r="I89" s="164">
        <f>SUMIF(WMS용마재고!$A:$A,"S147-01.75-0.75", WMS용마재고!$L:$L)</f>
        <v>279</v>
      </c>
      <c r="J89" s="164">
        <f>SUMIF(WMS용마재고!$A:$A,"S147-02.00-0.75", WMS용마재고!$L:$L)</f>
        <v>116</v>
      </c>
      <c r="K89" s="164">
        <f>SUMIF(WMS용마재고!$A:$A,"S147-02.25-0.75", WMS용마재고!$L:$L)</f>
        <v>81</v>
      </c>
      <c r="L89" s="164">
        <f>SUMIF(WMS용마재고!$A:$A,"S147-02.50-0.75", WMS용마재고!$L:$L)</f>
        <v>123</v>
      </c>
      <c r="M89" s="164">
        <f>SUMIF(WMS용마재고!$A:$A,"S147-02.75-0.75", WMS용마재고!$L:$L)</f>
        <v>181</v>
      </c>
      <c r="N89" s="164">
        <f>SUMIF(WMS용마재고!$A:$A,"S147-03.00-0.75", WMS용마재고!$L:$L)</f>
        <v>152</v>
      </c>
      <c r="O89" s="164">
        <f>SUMIF(WMS용마재고!$A:$A,"S147-03.25-0.75", WMS용마재고!$L:$L)</f>
        <v>496</v>
      </c>
      <c r="P89" s="164">
        <f>SUMIF(WMS용마재고!$A:$A,"S147-03.50-0.75", WMS용마재고!$L:$L)</f>
        <v>392</v>
      </c>
      <c r="Q89" s="164">
        <f>SUMIF(WMS용마재고!$A:$A,"S147-03.75-0.75", WMS용마재고!$L:$L)</f>
        <v>271</v>
      </c>
      <c r="R89" s="164">
        <f>SUMIF(WMS용마재고!$A:$A,"S147-04.00-0.75", WMS용마재고!$L:$L)</f>
        <v>186</v>
      </c>
      <c r="S89" s="164">
        <f>SUMIF(WMS용마재고!$A:$A,"S147-04.25-0.75", WMS용마재고!$L:$L)</f>
        <v>163</v>
      </c>
      <c r="T89" s="164">
        <f>SUMIF(WMS용마재고!$A:$A,"S147-04.50-0.75", WMS용마재고!$L:$L)</f>
        <v>219</v>
      </c>
      <c r="U89" s="164">
        <f>SUMIF(WMS용마재고!$A:$A,"S147-04.75-0.75", WMS용마재고!$L:$L)</f>
        <v>410</v>
      </c>
      <c r="V89" s="164">
        <f>SUMIF(WMS용마재고!$A:$A,"S147-05.00-0.75", WMS용마재고!$L:$L)</f>
        <v>202</v>
      </c>
      <c r="W89" s="164">
        <f>SUMIF(WMS용마재고!$A:$A,"S147-05.25-0.75", WMS용마재고!$L:$L)</f>
        <v>128</v>
      </c>
      <c r="X89" s="164">
        <f>SUMIF(WMS용마재고!$A:$A,"S147-05.50-0.75", WMS용마재고!$L:$L)</f>
        <v>420</v>
      </c>
      <c r="Y89" s="164">
        <f>SUMIF(WMS용마재고!$A:$A,"S147-05.75-0.75", WMS용마재고!$L:$L)</f>
        <v>214</v>
      </c>
      <c r="Z89" s="164">
        <f>SUMIF(WMS용마재고!$A:$A,"S147-06.00-0.75", WMS용마재고!$L:$L)</f>
        <v>224</v>
      </c>
      <c r="AA89" s="164">
        <f>SUMIF(WMS용마재고!$A:$A,"S147-06.50-0.75", WMS용마재고!$L:$L)</f>
        <v>296</v>
      </c>
      <c r="AB89" s="164">
        <f>SUMIF(WMS용마재고!$A:$A,"S147-07.00-0.75", WMS용마재고!$L:$L)</f>
        <v>374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287</v>
      </c>
      <c r="AP89" s="336">
        <f>SUMIF(WMS용마재고!$A:$A,"S147-00.50-0.75", WMS용마재고!$L:$L)</f>
        <v>940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183</v>
      </c>
      <c r="AS89" s="336">
        <f>SUMIF(WMS용마재고!$A:$A,"S147-01.25-0.75", WMS용마재고!$L:$L)</f>
        <v>527</v>
      </c>
      <c r="AT89" s="336">
        <f>SUMIF(WMS용마재고!$A:$A,"S147-01.50-0.75", WMS용마재고!$L:$L)</f>
        <v>137</v>
      </c>
      <c r="AU89" s="336">
        <f>SUMIF(WMS용마재고!$A:$A,"S147-01.75-0.75", WMS용마재고!$L:$L)</f>
        <v>279</v>
      </c>
      <c r="AV89" s="336">
        <f>SUMIF(WMS용마재고!$A:$A,"S147-02.00-0.75", WMS용마재고!$L:$L)</f>
        <v>116</v>
      </c>
      <c r="AW89" s="336">
        <f>SUMIF(WMS용마재고!$A:$A,"S147-02.25-0.75", WMS용마재고!$L:$L)</f>
        <v>81</v>
      </c>
      <c r="AX89" s="336">
        <f>SUMIF(WMS용마재고!$A:$A,"S147-02.50-0.75", WMS용마재고!$L:$L)</f>
        <v>123</v>
      </c>
      <c r="AY89" s="336">
        <f>SUMIF(WMS용마재고!$A:$A,"S147-02.75-0.75", WMS용마재고!$L:$L)</f>
        <v>181</v>
      </c>
      <c r="AZ89" s="336">
        <f>SUMIF(WMS용마재고!$A:$A,"S147-03.00-0.75", WMS용마재고!$L:$L)</f>
        <v>152</v>
      </c>
      <c r="BA89" s="336">
        <f>SUMIF(WMS용마재고!$A:$A,"S147-03.25-0.75", WMS용마재고!$L:$L)</f>
        <v>496</v>
      </c>
      <c r="BB89" s="336">
        <f>SUMIF(WMS용마재고!$A:$A,"S147-03.50-0.75", WMS용마재고!$L:$L)</f>
        <v>392</v>
      </c>
      <c r="BC89" s="336">
        <f>SUMIF(WMS용마재고!$A:$A,"S147-03.75-0.75", WMS용마재고!$L:$L)</f>
        <v>271</v>
      </c>
      <c r="BD89" s="336">
        <f>SUMIF(WMS용마재고!$A:$A,"S147-04.00-0.75", WMS용마재고!$L:$L)</f>
        <v>186</v>
      </c>
      <c r="BE89" s="336">
        <f>SUMIF(WMS용마재고!$A:$A,"S147-04.25-0.75", WMS용마재고!$L:$L)</f>
        <v>163</v>
      </c>
      <c r="BF89" s="336">
        <f>SUMIF(WMS용마재고!$A:$A,"S147-04.50-0.75", WMS용마재고!$L:$L)</f>
        <v>219</v>
      </c>
      <c r="BG89" s="336">
        <f>SUMIF(WMS용마재고!$A:$A,"S147-04.75-0.75", WMS용마재고!$L:$L)</f>
        <v>410</v>
      </c>
      <c r="BH89" s="336">
        <f>SUMIF(WMS용마재고!$A:$A,"S147-05.00-0.75", WMS용마재고!$L:$L)</f>
        <v>202</v>
      </c>
      <c r="BI89" s="336">
        <f>SUMIF(WMS용마재고!$A:$A,"S147-05.25-0.75", WMS용마재고!$L:$L)</f>
        <v>128</v>
      </c>
      <c r="BJ89" s="336">
        <f>SUMIF(WMS용마재고!$A:$A,"S147-05.50-0.75", WMS용마재고!$L:$L)</f>
        <v>420</v>
      </c>
      <c r="BK89" s="336">
        <f>SUMIF(WMS용마재고!$A:$A,"S147-05.75-0.75", WMS용마재고!$L:$L)</f>
        <v>214</v>
      </c>
      <c r="BL89" s="336">
        <f>SUMIF(WMS용마재고!$A:$A,"S147-06.00-0.75", WMS용마재고!$L:$L)</f>
        <v>224</v>
      </c>
      <c r="BM89" s="336">
        <f>SUMIF(WMS용마재고!$A:$A,"S147-06.50-0.75", WMS용마재고!$L:$L)</f>
        <v>296</v>
      </c>
      <c r="BN89" s="336">
        <f>SUMIF(WMS용마재고!$A:$A,"S147-07.00-0.75", WMS용마재고!$L:$L)</f>
        <v>374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292</v>
      </c>
      <c r="BZ89" s="192">
        <v>940</v>
      </c>
      <c r="CA89" s="192">
        <v>540</v>
      </c>
      <c r="CB89" s="192">
        <v>188</v>
      </c>
      <c r="CC89" s="192">
        <v>532</v>
      </c>
      <c r="CD89" s="192">
        <v>142</v>
      </c>
      <c r="CE89" s="192">
        <v>284</v>
      </c>
      <c r="CF89" s="192">
        <v>121</v>
      </c>
      <c r="CG89" s="192">
        <v>86</v>
      </c>
      <c r="CH89" s="192">
        <v>128</v>
      </c>
      <c r="CI89" s="192">
        <v>186</v>
      </c>
      <c r="CJ89" s="192">
        <v>157</v>
      </c>
      <c r="CK89" s="192">
        <v>501</v>
      </c>
      <c r="CL89" s="192">
        <v>397</v>
      </c>
      <c r="CM89" s="192">
        <v>276</v>
      </c>
      <c r="CN89" s="192">
        <v>191</v>
      </c>
      <c r="CO89" s="192">
        <v>168</v>
      </c>
      <c r="CP89" s="192">
        <v>224</v>
      </c>
      <c r="CQ89" s="193">
        <v>415</v>
      </c>
      <c r="CR89" s="193">
        <v>207</v>
      </c>
      <c r="CS89" s="193">
        <v>128</v>
      </c>
      <c r="CT89" s="193">
        <v>420</v>
      </c>
      <c r="CU89" s="193">
        <v>214</v>
      </c>
      <c r="CV89" s="193">
        <v>224</v>
      </c>
      <c r="CW89" s="193">
        <v>296</v>
      </c>
      <c r="CX89" s="193">
        <v>374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326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263</v>
      </c>
      <c r="F90" s="164">
        <f>SUMIF(WMS용마재고!$A:$A,"S147-01.00-1.25", WMS용마재고!$L:$L)</f>
        <v>303</v>
      </c>
      <c r="G90" s="164">
        <f>SUMIF(WMS용마재고!$A:$A,"S147-01.25-1.25", WMS용마재고!$L:$L)</f>
        <v>270</v>
      </c>
      <c r="H90" s="164">
        <f>SUMIF(WMS용마재고!$A:$A,"S147-01.50-1.25", WMS용마재고!$L:$L)</f>
        <v>166</v>
      </c>
      <c r="I90" s="164">
        <f>SUMIF(WMS용마재고!$A:$A,"S147-01.75-1.25", WMS용마재고!$L:$L)</f>
        <v>258</v>
      </c>
      <c r="J90" s="164">
        <f>SUMIF(WMS용마재고!$A:$A,"S147-02.00-1.25", WMS용마재고!$L:$L)</f>
        <v>184</v>
      </c>
      <c r="K90" s="164">
        <f>SUMIF(WMS용마재고!$A:$A,"S147-02.25-1.25", WMS용마재고!$L:$L)</f>
        <v>183</v>
      </c>
      <c r="L90" s="164">
        <f>SUMIF(WMS용마재고!$A:$A,"S147-02.50-1.25", WMS용마재고!$L:$L)</f>
        <v>415</v>
      </c>
      <c r="M90" s="164">
        <f>SUMIF(WMS용마재고!$A:$A,"S147-02.75-1.25", WMS용마재고!$L:$L)</f>
        <v>394</v>
      </c>
      <c r="N90" s="164">
        <f>SUMIF(WMS용마재고!$A:$A,"S147-03.00-1.25", WMS용마재고!$L:$L)</f>
        <v>449</v>
      </c>
      <c r="O90" s="164">
        <f>SUMIF(WMS용마재고!$A:$A,"S147-03.25-1.25", WMS용마재고!$L:$L)</f>
        <v>461</v>
      </c>
      <c r="P90" s="164">
        <f>SUMIF(WMS용마재고!$A:$A,"S147-03.50-1.25", WMS용마재고!$L:$L)</f>
        <v>351</v>
      </c>
      <c r="Q90" s="164">
        <f>SUMIF(WMS용마재고!$A:$A,"S147-03.75-1.25", WMS용마재고!$L:$L)</f>
        <v>634</v>
      </c>
      <c r="R90" s="164">
        <f>SUMIF(WMS용마재고!$A:$A,"S147-04.00-1.25", WMS용마재고!$L:$L)</f>
        <v>462</v>
      </c>
      <c r="S90" s="164">
        <f>SUMIF(WMS용마재고!$A:$A,"S147-04.25-1.25", WMS용마재고!$L:$L)</f>
        <v>621</v>
      </c>
      <c r="T90" s="164">
        <f>SUMIF(WMS용마재고!$A:$A,"S147-04.50-1.25", WMS용마재고!$L:$L)</f>
        <v>553</v>
      </c>
      <c r="U90" s="164">
        <f>SUMIF(WMS용마재고!$A:$A,"S147-04.75-1.25", WMS용마재고!$L:$L)</f>
        <v>585</v>
      </c>
      <c r="V90" s="164">
        <f>SUMIF(WMS용마재고!$A:$A,"S147-05.00-1.25", WMS용마재고!$L:$L)</f>
        <v>602</v>
      </c>
      <c r="W90" s="164">
        <f>SUMIF(WMS용마재고!$A:$A,"S147-05.25-1.25", WMS용마재고!$L:$L)</f>
        <v>642</v>
      </c>
      <c r="X90" s="164">
        <f>SUMIF(WMS용마재고!$A:$A,"S147-05.50-1.25", WMS용마재고!$L:$L)</f>
        <v>625</v>
      </c>
      <c r="Y90" s="164">
        <f>SUMIF(WMS용마재고!$A:$A,"S147-05.75-1.25", WMS용마재고!$L:$L)</f>
        <v>439</v>
      </c>
      <c r="Z90" s="164">
        <f>SUMIF(WMS용마재고!$A:$A,"S147-06.00-1.25", WMS용마재고!$L:$L)</f>
        <v>463</v>
      </c>
      <c r="AA90" s="164">
        <f>SUMIF(WMS용마재고!$A:$A,"S147-06.50-1.25", WMS용마재고!$L:$L)</f>
        <v>307</v>
      </c>
      <c r="AB90" s="164">
        <f>SUMIF(WMS용마재고!$A:$A,"S147-07.00-1.25", WMS용마재고!$L:$L)</f>
        <v>313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326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263</v>
      </c>
      <c r="AR90" s="191">
        <f>SUMIF(WMS용마재고!$A:$A,"S147-01.00-1.25", WMS용마재고!$L:$L)</f>
        <v>303</v>
      </c>
      <c r="AS90" s="191">
        <f>SUMIF(WMS용마재고!$A:$A,"S147-01.25-1.25", WMS용마재고!$L:$L)</f>
        <v>270</v>
      </c>
      <c r="AT90" s="191">
        <f>SUMIF(WMS용마재고!$A:$A,"S147-01.50-1.25", WMS용마재고!$L:$L)</f>
        <v>166</v>
      </c>
      <c r="AU90" s="191">
        <f>SUMIF(WMS용마재고!$A:$A,"S147-01.75-1.25", WMS용마재고!$L:$L)</f>
        <v>258</v>
      </c>
      <c r="AV90" s="191">
        <f>SUMIF(WMS용마재고!$A:$A,"S147-02.00-1.25", WMS용마재고!$L:$L)</f>
        <v>184</v>
      </c>
      <c r="AW90" s="191">
        <f>SUMIF(WMS용마재고!$A:$A,"S147-02.25-1.25", WMS용마재고!$L:$L)</f>
        <v>183</v>
      </c>
      <c r="AX90" s="191">
        <f>SUMIF(WMS용마재고!$A:$A,"S147-02.50-1.25", WMS용마재고!$L:$L)</f>
        <v>415</v>
      </c>
      <c r="AY90" s="191">
        <f>SUMIF(WMS용마재고!$A:$A,"S147-02.75-1.25", WMS용마재고!$L:$L)</f>
        <v>394</v>
      </c>
      <c r="AZ90" s="191">
        <f>SUMIF(WMS용마재고!$A:$A,"S147-03.00-1.25", WMS용마재고!$L:$L)</f>
        <v>449</v>
      </c>
      <c r="BA90" s="191">
        <f>SUMIF(WMS용마재고!$A:$A,"S147-03.25-1.25", WMS용마재고!$L:$L)</f>
        <v>461</v>
      </c>
      <c r="BB90" s="191">
        <f>SUMIF(WMS용마재고!$A:$A,"S147-03.50-1.25", WMS용마재고!$L:$L)</f>
        <v>351</v>
      </c>
      <c r="BC90" s="191">
        <f>SUMIF(WMS용마재고!$A:$A,"S147-03.75-1.25", WMS용마재고!$L:$L)</f>
        <v>634</v>
      </c>
      <c r="BD90" s="191">
        <f>SUMIF(WMS용마재고!$A:$A,"S147-04.00-1.25", WMS용마재고!$L:$L)</f>
        <v>462</v>
      </c>
      <c r="BE90" s="191">
        <f>SUMIF(WMS용마재고!$A:$A,"S147-04.25-1.25", WMS용마재고!$L:$L)</f>
        <v>621</v>
      </c>
      <c r="BF90" s="191">
        <f>SUMIF(WMS용마재고!$A:$A,"S147-04.50-1.25", WMS용마재고!$L:$L)</f>
        <v>553</v>
      </c>
      <c r="BG90" s="191">
        <f>SUMIF(WMS용마재고!$A:$A,"S147-04.75-1.25", WMS용마재고!$L:$L)</f>
        <v>585</v>
      </c>
      <c r="BH90" s="191">
        <f>SUMIF(WMS용마재고!$A:$A,"S147-05.00-1.25", WMS용마재고!$L:$L)</f>
        <v>602</v>
      </c>
      <c r="BI90" s="191">
        <f>SUMIF(WMS용마재고!$A:$A,"S147-05.25-1.25", WMS용마재고!$L:$L)</f>
        <v>642</v>
      </c>
      <c r="BJ90" s="191">
        <f>SUMIF(WMS용마재고!$A:$A,"S147-05.50-1.25", WMS용마재고!$L:$L)</f>
        <v>625</v>
      </c>
      <c r="BK90" s="191">
        <f>SUMIF(WMS용마재고!$A:$A,"S147-05.75-1.25", WMS용마재고!$L:$L)</f>
        <v>439</v>
      </c>
      <c r="BL90" s="191">
        <f>SUMIF(WMS용마재고!$A:$A,"S147-06.00-1.25", WMS용마재고!$L:$L)</f>
        <v>463</v>
      </c>
      <c r="BM90" s="191">
        <f>SUMIF(WMS용마재고!$A:$A,"S147-06.50-1.25", WMS용마재고!$L:$L)</f>
        <v>307</v>
      </c>
      <c r="BN90" s="191">
        <f>SUMIF(WMS용마재고!$A:$A,"S147-07.00-1.25", WMS용마재고!$L:$L)</f>
        <v>313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331</v>
      </c>
      <c r="BZ90" s="192">
        <v>397</v>
      </c>
      <c r="CA90" s="192">
        <v>263</v>
      </c>
      <c r="CB90" s="192">
        <v>308</v>
      </c>
      <c r="CC90" s="192">
        <v>275</v>
      </c>
      <c r="CD90" s="192">
        <v>171</v>
      </c>
      <c r="CE90" s="192">
        <v>263</v>
      </c>
      <c r="CF90" s="192">
        <v>189</v>
      </c>
      <c r="CG90" s="192">
        <v>188</v>
      </c>
      <c r="CH90" s="192">
        <v>420</v>
      </c>
      <c r="CI90" s="192">
        <v>399</v>
      </c>
      <c r="CJ90" s="192">
        <v>454</v>
      </c>
      <c r="CK90" s="192">
        <v>466</v>
      </c>
      <c r="CL90" s="192">
        <v>356</v>
      </c>
      <c r="CM90" s="192">
        <v>639</v>
      </c>
      <c r="CN90" s="192">
        <v>467</v>
      </c>
      <c r="CO90" s="192">
        <v>626</v>
      </c>
      <c r="CP90" s="192">
        <v>558</v>
      </c>
      <c r="CQ90" s="193">
        <v>590</v>
      </c>
      <c r="CR90" s="193">
        <v>607</v>
      </c>
      <c r="CS90" s="193">
        <v>642</v>
      </c>
      <c r="CT90" s="193">
        <v>625</v>
      </c>
      <c r="CU90" s="193">
        <v>439</v>
      </c>
      <c r="CV90" s="193">
        <v>463</v>
      </c>
      <c r="CW90" s="193">
        <v>307</v>
      </c>
      <c r="CX90" s="193">
        <v>313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130</v>
      </c>
      <c r="D91" s="164">
        <f>SUMIF(WMS용마재고!$A:$A,"S147-00.50-1.75", WMS용마재고!$L:$L)</f>
        <v>251</v>
      </c>
      <c r="E91" s="164">
        <f>SUMIF(WMS용마재고!$A:$A,"S147-00.75-1.75", WMS용마재고!$L:$L)</f>
        <v>266</v>
      </c>
      <c r="F91" s="164">
        <f>SUMIF(WMS용마재고!$A:$A,"S147-01.00-1.75", WMS용마재고!$L:$L)</f>
        <v>210</v>
      </c>
      <c r="G91" s="164">
        <f>SUMIF(WMS용마재고!$A:$A,"S147-01.25-1.75", WMS용마재고!$L:$L)</f>
        <v>92</v>
      </c>
      <c r="H91" s="164">
        <f>SUMIF(WMS용마재고!$A:$A,"S147-01.50-1.75", WMS용마재고!$L:$L)</f>
        <v>84</v>
      </c>
      <c r="I91" s="164">
        <f>SUMIF(WMS용마재고!$A:$A,"S147-01.75-1.75", WMS용마재고!$L:$L)</f>
        <v>215</v>
      </c>
      <c r="J91" s="164">
        <f>SUMIF(WMS용마재고!$A:$A,"S147-02.00-1.75", WMS용마재고!$L:$L)</f>
        <v>161</v>
      </c>
      <c r="K91" s="164">
        <f>SUMIF(WMS용마재고!$A:$A,"S147-02.25-1.75", WMS용마재고!$L:$L)</f>
        <v>116</v>
      </c>
      <c r="L91" s="164">
        <f>SUMIF(WMS용마재고!$A:$A,"S147-02.50-1.75", WMS용마재고!$L:$L)</f>
        <v>337</v>
      </c>
      <c r="M91" s="164">
        <f>SUMIF(WMS용마재고!$A:$A,"S147-02.75-1.75", WMS용마재고!$L:$L)</f>
        <v>293</v>
      </c>
      <c r="N91" s="164">
        <f>SUMIF(WMS용마재고!$A:$A,"S147-03.00-1.75", WMS용마재고!$L:$L)</f>
        <v>452</v>
      </c>
      <c r="O91" s="164">
        <f>SUMIF(WMS용마재고!$A:$A,"S147-03.25-1.75", WMS용마재고!$L:$L)</f>
        <v>486</v>
      </c>
      <c r="P91" s="164">
        <f>SUMIF(WMS용마재고!$A:$A,"S147-03.50-1.75", WMS용마재고!$L:$L)</f>
        <v>69</v>
      </c>
      <c r="Q91" s="164">
        <f>SUMIF(WMS용마재고!$A:$A,"S147-03.75-1.75", WMS용마재고!$L:$L)</f>
        <v>273</v>
      </c>
      <c r="R91" s="164">
        <f>SUMIF(WMS용마재고!$A:$A,"S147-04.00-1.75", WMS용마재고!$L:$L)</f>
        <v>206</v>
      </c>
      <c r="S91" s="164">
        <f>SUMIF(WMS용마재고!$A:$A,"S147-04.25-1.75", WMS용마재고!$L:$L)</f>
        <v>125</v>
      </c>
      <c r="T91" s="164">
        <f>SUMIF(WMS용마재고!$A:$A,"S147-04.50-1.75", WMS용마재고!$L:$L)</f>
        <v>440</v>
      </c>
      <c r="U91" s="164">
        <f>SUMIF(WMS용마재고!$A:$A,"S147-04.75-1.75", WMS용마재고!$L:$L)</f>
        <v>499</v>
      </c>
      <c r="V91" s="164">
        <f>SUMIF(WMS용마재고!$A:$A,"S147-05.00-1.75", WMS용마재고!$L:$L)</f>
        <v>257</v>
      </c>
      <c r="W91" s="164">
        <f>SUMIF(WMS용마재고!$A:$A,"S147-05.25-1.75", WMS용마재고!$L:$L)</f>
        <v>299</v>
      </c>
      <c r="X91" s="164">
        <f>SUMIF(WMS용마재고!$A:$A,"S147-05.50-1.75", WMS용마재고!$L:$L)</f>
        <v>532</v>
      </c>
      <c r="Y91" s="164">
        <f>SUMIF(WMS용마재고!$A:$A,"S147-05.75-1.75", WMS용마재고!$L:$L)</f>
        <v>273</v>
      </c>
      <c r="Z91" s="164">
        <f>SUMIF(WMS용마재고!$A:$A,"S147-06.00-1.75", WMS용마재고!$L:$L)</f>
        <v>233</v>
      </c>
      <c r="AA91" s="164">
        <f>SUMIF(WMS용마재고!$A:$A,"S147-06.50-1.75", WMS용마재고!$L:$L)</f>
        <v>0</v>
      </c>
      <c r="AB91" s="164">
        <f>SUMIF(WMS용마재고!$A:$A,"S147-07.00-1.75", WMS용마재고!$L:$L)</f>
        <v>267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130</v>
      </c>
      <c r="AP91" s="191">
        <f>SUMIF(WMS용마재고!$A:$A,"S147-00.50-1.75", WMS용마재고!$L:$L)</f>
        <v>251</v>
      </c>
      <c r="AQ91" s="191">
        <f>SUMIF(WMS용마재고!$A:$A,"S147-00.75-1.75", WMS용마재고!$L:$L)</f>
        <v>266</v>
      </c>
      <c r="AR91" s="191">
        <f>SUMIF(WMS용마재고!$A:$A,"S147-01.00-1.75", WMS용마재고!$L:$L)</f>
        <v>210</v>
      </c>
      <c r="AS91" s="191">
        <f>SUMIF(WMS용마재고!$A:$A,"S147-01.25-1.75", WMS용마재고!$L:$L)</f>
        <v>92</v>
      </c>
      <c r="AT91" s="191">
        <f>SUMIF(WMS용마재고!$A:$A,"S147-01.50-1.75", WMS용마재고!$L:$L)</f>
        <v>84</v>
      </c>
      <c r="AU91" s="191">
        <f>SUMIF(WMS용마재고!$A:$A,"S147-01.75-1.75", WMS용마재고!$L:$L)</f>
        <v>215</v>
      </c>
      <c r="AV91" s="191">
        <f>SUMIF(WMS용마재고!$A:$A,"S147-02.00-1.75", WMS용마재고!$L:$L)</f>
        <v>161</v>
      </c>
      <c r="AW91" s="191">
        <f>SUMIF(WMS용마재고!$A:$A,"S147-02.25-1.75", WMS용마재고!$L:$L)</f>
        <v>116</v>
      </c>
      <c r="AX91" s="191">
        <f>SUMIF(WMS용마재고!$A:$A,"S147-02.50-1.75", WMS용마재고!$L:$L)</f>
        <v>337</v>
      </c>
      <c r="AY91" s="191">
        <f>SUMIF(WMS용마재고!$A:$A,"S147-02.75-1.75", WMS용마재고!$L:$L)</f>
        <v>293</v>
      </c>
      <c r="AZ91" s="191">
        <f>SUMIF(WMS용마재고!$A:$A,"S147-03.00-1.75", WMS용마재고!$L:$L)</f>
        <v>452</v>
      </c>
      <c r="BA91" s="191">
        <f>SUMIF(WMS용마재고!$A:$A,"S147-03.25-1.75", WMS용마재고!$L:$L)</f>
        <v>486</v>
      </c>
      <c r="BB91" s="191">
        <f>SUMIF(WMS용마재고!$A:$A,"S147-03.50-1.75", WMS용마재고!$L:$L)</f>
        <v>69</v>
      </c>
      <c r="BC91" s="191">
        <f>SUMIF(WMS용마재고!$A:$A,"S147-03.75-1.75", WMS용마재고!$L:$L)</f>
        <v>273</v>
      </c>
      <c r="BD91" s="191">
        <f>SUMIF(WMS용마재고!$A:$A,"S147-04.00-1.75", WMS용마재고!$L:$L)</f>
        <v>206</v>
      </c>
      <c r="BE91" s="191">
        <f>SUMIF(WMS용마재고!$A:$A,"S147-04.25-1.75", WMS용마재고!$L:$L)</f>
        <v>125</v>
      </c>
      <c r="BF91" s="191">
        <f>SUMIF(WMS용마재고!$A:$A,"S147-04.50-1.75", WMS용마재고!$L:$L)</f>
        <v>440</v>
      </c>
      <c r="BG91" s="191">
        <f>SUMIF(WMS용마재고!$A:$A,"S147-04.75-1.75", WMS용마재고!$L:$L)</f>
        <v>499</v>
      </c>
      <c r="BH91" s="191">
        <f>SUMIF(WMS용마재고!$A:$A,"S147-05.00-1.75", WMS용마재고!$L:$L)</f>
        <v>257</v>
      </c>
      <c r="BI91" s="191">
        <f>SUMIF(WMS용마재고!$A:$A,"S147-05.25-1.75", WMS용마재고!$L:$L)</f>
        <v>299</v>
      </c>
      <c r="BJ91" s="191">
        <f>SUMIF(WMS용마재고!$A:$A,"S147-05.50-1.75", WMS용마재고!$L:$L)</f>
        <v>532</v>
      </c>
      <c r="BK91" s="191">
        <f>SUMIF(WMS용마재고!$A:$A,"S147-05.75-1.75", WMS용마재고!$L:$L)</f>
        <v>273</v>
      </c>
      <c r="BL91" s="191">
        <f>SUMIF(WMS용마재고!$A:$A,"S147-06.00-1.75", WMS용마재고!$L:$L)</f>
        <v>233</v>
      </c>
      <c r="BM91" s="191">
        <f>SUMIF(WMS용마재고!$A:$A,"S147-06.50-1.75", WMS용마재고!$L:$L)</f>
        <v>0</v>
      </c>
      <c r="BN91" s="191">
        <f>SUMIF(WMS용마재고!$A:$A,"S147-07.00-1.75", WMS용마재고!$L:$L)</f>
        <v>267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135</v>
      </c>
      <c r="BZ91" s="192">
        <v>251</v>
      </c>
      <c r="CA91" s="192">
        <v>266</v>
      </c>
      <c r="CB91" s="192">
        <v>215</v>
      </c>
      <c r="CC91" s="192">
        <v>97</v>
      </c>
      <c r="CD91" s="192">
        <v>89</v>
      </c>
      <c r="CE91" s="192">
        <v>220</v>
      </c>
      <c r="CF91" s="192">
        <v>166</v>
      </c>
      <c r="CG91" s="192">
        <v>121</v>
      </c>
      <c r="CH91" s="192">
        <v>342</v>
      </c>
      <c r="CI91" s="192">
        <v>298</v>
      </c>
      <c r="CJ91" s="192">
        <v>457</v>
      </c>
      <c r="CK91" s="192">
        <v>491</v>
      </c>
      <c r="CL91" s="192">
        <v>74</v>
      </c>
      <c r="CM91" s="192">
        <v>278</v>
      </c>
      <c r="CN91" s="192">
        <v>211</v>
      </c>
      <c r="CO91" s="192">
        <v>130</v>
      </c>
      <c r="CP91" s="192">
        <v>445</v>
      </c>
      <c r="CQ91" s="193">
        <v>504</v>
      </c>
      <c r="CR91" s="193">
        <v>262</v>
      </c>
      <c r="CS91" s="193">
        <v>299</v>
      </c>
      <c r="CT91" s="193">
        <v>532</v>
      </c>
      <c r="CU91" s="193">
        <v>273</v>
      </c>
      <c r="CV91" s="193">
        <v>233</v>
      </c>
      <c r="CW91" s="193">
        <v>0</v>
      </c>
      <c r="CX91" s="193">
        <v>267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234</v>
      </c>
      <c r="D92" s="164">
        <f>SUMIF(WMS용마재고!$A:$A,"S154-00.50-0.75", WMS용마재고!$L:$L)</f>
        <v>356</v>
      </c>
      <c r="E92" s="164">
        <f>SUMIF(WMS용마재고!$A:$A,"S154-00.75-0.75", WMS용마재고!$L:$L)</f>
        <v>806</v>
      </c>
      <c r="F92" s="164">
        <f>SUMIF(WMS용마재고!$A:$A,"S154-01.00-0.75", WMS용마재고!$L:$L)</f>
        <v>517</v>
      </c>
      <c r="G92" s="164">
        <f>SUMIF(WMS용마재고!$A:$A,"S154-01.25-0.75", WMS용마재고!$L:$L)</f>
        <v>624</v>
      </c>
      <c r="H92" s="164">
        <f>SUMIF(WMS용마재고!$A:$A,"S154-01.50-0.75", WMS용마재고!$L:$L)</f>
        <v>288</v>
      </c>
      <c r="I92" s="164">
        <f>SUMIF(WMS용마재고!$A:$A,"S154-01.75-0.75", WMS용마재고!$L:$L)</f>
        <v>17</v>
      </c>
      <c r="J92" s="164">
        <f>SUMIF(WMS용마재고!$A:$A,"S154-02.00-0.75", WMS용마재고!$L:$L)</f>
        <v>16</v>
      </c>
      <c r="K92" s="164">
        <f>SUMIF(WMS용마재고!$A:$A,"S154-02.25-0.75", WMS용마재고!$L:$L)</f>
        <v>113</v>
      </c>
      <c r="L92" s="164">
        <f>SUMIF(WMS용마재고!$A:$A,"S154-02.50-0.75", WMS용마재고!$L:$L)</f>
        <v>86</v>
      </c>
      <c r="M92" s="164">
        <f>SUMIF(WMS용마재고!$A:$A,"S154-02.75-0.75", WMS용마재고!$L:$L)</f>
        <v>439</v>
      </c>
      <c r="N92" s="164">
        <f>SUMIF(WMS용마재고!$A:$A,"S154-03.00-0.75", WMS용마재고!$L:$L)</f>
        <v>33</v>
      </c>
      <c r="O92" s="164">
        <f>SUMIF(WMS용마재고!$A:$A,"S154-03.25-0.75", WMS용마재고!$L:$L)</f>
        <v>478</v>
      </c>
      <c r="P92" s="164">
        <f>SUMIF(WMS용마재고!$A:$A,"S154-03.50-0.75", WMS용마재고!$L:$L)</f>
        <v>63</v>
      </c>
      <c r="Q92" s="164">
        <f>SUMIF(WMS용마재고!$A:$A,"S154-03.75-0.75", WMS용마재고!$L:$L)</f>
        <v>603</v>
      </c>
      <c r="R92" s="164">
        <f>SUMIF(WMS용마재고!$A:$A,"S154-04.00-0.75", WMS용마재고!$L:$L)</f>
        <v>206</v>
      </c>
      <c r="S92" s="164">
        <f>SUMIF(WMS용마재고!$A:$A,"S154-04.25-0.75", WMS용마재고!$L:$L)</f>
        <v>334</v>
      </c>
      <c r="T92" s="164">
        <f>SUMIF(WMS용마재고!$A:$A,"S154-04.50-0.75", WMS용마재고!$L:$L)</f>
        <v>153</v>
      </c>
      <c r="U92" s="164">
        <f>SUMIF(WMS용마재고!$A:$A,"S154-04.75-0.75", WMS용마재고!$L:$L)</f>
        <v>93</v>
      </c>
      <c r="V92" s="164">
        <f>SUMIF(WMS용마재고!$A:$A,"S154-05.00-0.75", WMS용마재고!$L:$L)</f>
        <v>108</v>
      </c>
      <c r="W92" s="164">
        <f>SUMIF(WMS용마재고!$A:$A,"S154-05.25-0.75", WMS용마재고!$L:$L)</f>
        <v>592</v>
      </c>
      <c r="X92" s="164">
        <f>SUMIF(WMS용마재고!$A:$A,"S154-05.50-0.75", WMS용마재고!$L:$L)</f>
        <v>195</v>
      </c>
      <c r="Y92" s="164">
        <f>SUMIF(WMS용마재고!$A:$A,"S154-05.75-0.75", WMS용마재고!$L:$L)</f>
        <v>412</v>
      </c>
      <c r="Z92" s="164">
        <f>SUMIF(WMS용마재고!$A:$A,"S154-06.00-0.75", WMS용마재고!$L:$L)</f>
        <v>51</v>
      </c>
      <c r="AA92" s="164">
        <f>SUMIF(WMS용마재고!$A:$A,"S154-06.50-0.75", WMS용마재고!$L:$L)</f>
        <v>120</v>
      </c>
      <c r="AB92" s="164">
        <f>SUMIF(WMS용마재고!$A:$A,"S154-07.00-0.75", WMS용마재고!$L:$L)</f>
        <v>156</v>
      </c>
      <c r="AC92" s="164">
        <f>SUMIF(WMS용마재고!$A:$A,"S154-07.50-0.75", WMS용마재고!$L:$L)</f>
        <v>42</v>
      </c>
      <c r="AD92" s="164">
        <f>SUMIF(WMS용마재고!$A:$A,"S154-08.00-0.75", WMS용마재고!$L:$L)</f>
        <v>364</v>
      </c>
      <c r="AE92" s="164">
        <f>SUMIF(WMS용마재고!$A:$A,"S154-08.50-0.75", WMS용마재고!$L:$L)</f>
        <v>134</v>
      </c>
      <c r="AF92" s="164">
        <f>SUMIF(WMS용마재고!$A:$A,"S154-09.00-0.75", WMS용마재고!$L:$L)</f>
        <v>242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234</v>
      </c>
      <c r="AP92" s="191">
        <f>SUMIF(WMS용마재고!$A:$A,"S154-00.50-0.75", WMS용마재고!$L:$L)</f>
        <v>356</v>
      </c>
      <c r="AQ92" s="191">
        <f>SUMIF(WMS용마재고!$A:$A,"S154-00.75-0.75", WMS용마재고!$L:$L)</f>
        <v>806</v>
      </c>
      <c r="AR92" s="191">
        <f>SUMIF(WMS용마재고!$A:$A,"S154-01.00-0.75", WMS용마재고!$L:$L)</f>
        <v>517</v>
      </c>
      <c r="AS92" s="191">
        <f>SUMIF(WMS용마재고!$A:$A,"S154-01.25-0.75", WMS용마재고!$L:$L)</f>
        <v>624</v>
      </c>
      <c r="AT92" s="191">
        <f>SUMIF(WMS용마재고!$A:$A,"S154-01.50-0.75", WMS용마재고!$L:$L)</f>
        <v>288</v>
      </c>
      <c r="AU92" s="191">
        <f>SUMIF(WMS용마재고!$A:$A,"S154-01.75-0.75", WMS용마재고!$L:$L)</f>
        <v>17</v>
      </c>
      <c r="AV92" s="191">
        <f>SUMIF(WMS용마재고!$A:$A,"S154-02.00-0.75", WMS용마재고!$L:$L)</f>
        <v>16</v>
      </c>
      <c r="AW92" s="191">
        <f>SUMIF(WMS용마재고!$A:$A,"S154-02.25-0.75", WMS용마재고!$L:$L)</f>
        <v>113</v>
      </c>
      <c r="AX92" s="191">
        <f>SUMIF(WMS용마재고!$A:$A,"S154-02.50-0.75", WMS용마재고!$L:$L)</f>
        <v>86</v>
      </c>
      <c r="AY92" s="191">
        <f>SUMIF(WMS용마재고!$A:$A,"S154-02.75-0.75", WMS용마재고!$L:$L)</f>
        <v>439</v>
      </c>
      <c r="AZ92" s="191">
        <f>SUMIF(WMS용마재고!$A:$A,"S154-03.00-0.75", WMS용마재고!$L:$L)</f>
        <v>33</v>
      </c>
      <c r="BA92" s="191">
        <f>SUMIF(WMS용마재고!$A:$A,"S154-03.25-0.75", WMS용마재고!$L:$L)</f>
        <v>478</v>
      </c>
      <c r="BB92" s="191">
        <f>SUMIF(WMS용마재고!$A:$A,"S154-03.50-0.75", WMS용마재고!$L:$L)</f>
        <v>63</v>
      </c>
      <c r="BC92" s="191">
        <f>SUMIF(WMS용마재고!$A:$A,"S154-03.75-0.75", WMS용마재고!$L:$L)</f>
        <v>603</v>
      </c>
      <c r="BD92" s="191">
        <f>SUMIF(WMS용마재고!$A:$A,"S154-04.00-0.75", WMS용마재고!$L:$L)</f>
        <v>206</v>
      </c>
      <c r="BE92" s="191">
        <f>SUMIF(WMS용마재고!$A:$A,"S154-04.25-0.75", WMS용마재고!$L:$L)</f>
        <v>334</v>
      </c>
      <c r="BF92" s="191">
        <f>SUMIF(WMS용마재고!$A:$A,"S154-04.50-0.75", WMS용마재고!$L:$L)</f>
        <v>153</v>
      </c>
      <c r="BG92" s="191">
        <f>SUMIF(WMS용마재고!$A:$A,"S154-04.75-0.75", WMS용마재고!$L:$L)</f>
        <v>93</v>
      </c>
      <c r="BH92" s="191">
        <f>SUMIF(WMS용마재고!$A:$A,"S154-05.00-0.75", WMS용마재고!$L:$L)</f>
        <v>108</v>
      </c>
      <c r="BI92" s="191">
        <f>SUMIF(WMS용마재고!$A:$A,"S154-05.25-0.75", WMS용마재고!$L:$L)</f>
        <v>592</v>
      </c>
      <c r="BJ92" s="191">
        <f>SUMIF(WMS용마재고!$A:$A,"S154-05.50-0.75", WMS용마재고!$L:$L)</f>
        <v>195</v>
      </c>
      <c r="BK92" s="191">
        <f>SUMIF(WMS용마재고!$A:$A,"S154-05.75-0.75", WMS용마재고!$L:$L)</f>
        <v>412</v>
      </c>
      <c r="BL92" s="191">
        <f>SUMIF(WMS용마재고!$A:$A,"S154-06.00-0.75", WMS용마재고!$L:$L)</f>
        <v>51</v>
      </c>
      <c r="BM92" s="191">
        <f>SUMIF(WMS용마재고!$A:$A,"S154-06.50-0.75", WMS용마재고!$L:$L)</f>
        <v>120</v>
      </c>
      <c r="BN92" s="191">
        <f>SUMIF(WMS용마재고!$A:$A,"S154-07.00-0.75", WMS용마재고!$L:$L)</f>
        <v>156</v>
      </c>
      <c r="BO92" s="191">
        <f>SUMIF(WMS용마재고!$A:$A,"S154-07.50-0.75", WMS용마재고!$L:$L)</f>
        <v>42</v>
      </c>
      <c r="BP92" s="191">
        <f>SUMIF(WMS용마재고!$A:$A,"S154-08.00-0.75", WMS용마재고!$L:$L)</f>
        <v>364</v>
      </c>
      <c r="BQ92" s="191">
        <f>SUMIF(WMS용마재고!$A:$A,"S154-08.50-0.75", WMS용마재고!$L:$L)</f>
        <v>134</v>
      </c>
      <c r="BR92" s="191">
        <f>SUMIF(WMS용마재고!$A:$A,"S154-09.00-0.75", WMS용마재고!$L:$L)</f>
        <v>242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239</v>
      </c>
      <c r="BZ92" s="192">
        <v>356</v>
      </c>
      <c r="CA92" s="192">
        <v>806</v>
      </c>
      <c r="CB92" s="192">
        <v>522</v>
      </c>
      <c r="CC92" s="192">
        <v>629</v>
      </c>
      <c r="CD92" s="192">
        <v>293</v>
      </c>
      <c r="CE92" s="192">
        <v>22</v>
      </c>
      <c r="CF92" s="192">
        <v>21</v>
      </c>
      <c r="CG92" s="192">
        <v>118</v>
      </c>
      <c r="CH92" s="192">
        <v>91</v>
      </c>
      <c r="CI92" s="192">
        <v>444</v>
      </c>
      <c r="CJ92" s="192">
        <v>38</v>
      </c>
      <c r="CK92" s="192">
        <v>483</v>
      </c>
      <c r="CL92" s="192">
        <v>68</v>
      </c>
      <c r="CM92" s="192">
        <v>608</v>
      </c>
      <c r="CN92" s="192">
        <v>211</v>
      </c>
      <c r="CO92" s="192">
        <v>339</v>
      </c>
      <c r="CP92" s="192">
        <v>158</v>
      </c>
      <c r="CQ92" s="193">
        <v>98</v>
      </c>
      <c r="CR92" s="193">
        <v>113</v>
      </c>
      <c r="CS92" s="193">
        <v>592</v>
      </c>
      <c r="CT92" s="193">
        <v>195</v>
      </c>
      <c r="CU92" s="193">
        <v>412</v>
      </c>
      <c r="CV92" s="193">
        <v>51</v>
      </c>
      <c r="CW92" s="193">
        <v>120</v>
      </c>
      <c r="CX92" s="193">
        <v>156</v>
      </c>
      <c r="CY92" s="193">
        <v>42</v>
      </c>
      <c r="CZ92" s="193">
        <v>364</v>
      </c>
      <c r="DA92" s="193">
        <v>134</v>
      </c>
      <c r="DB92" s="193">
        <v>242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177</v>
      </c>
      <c r="D93" s="164">
        <f>SUMIF(WMS용마재고!$A:$A,"S154-00.50-1.25", WMS용마재고!$L:$L)</f>
        <v>767</v>
      </c>
      <c r="E93" s="164">
        <f>SUMIF(WMS용마재고!$A:$A,"S154-00.75-1.25", WMS용마재고!$L:$L)</f>
        <v>441</v>
      </c>
      <c r="F93" s="164">
        <f>SUMIF(WMS용마재고!$A:$A,"S154-01.00-1.25", WMS용마재고!$L:$L)</f>
        <v>533</v>
      </c>
      <c r="G93" s="164">
        <f>SUMIF(WMS용마재고!$A:$A,"S154-01.25-1.25", WMS용마재고!$L:$L)</f>
        <v>431</v>
      </c>
      <c r="H93" s="164">
        <f>SUMIF(WMS용마재고!$A:$A,"S154-01.50-1.25", WMS용마재고!$L:$L)</f>
        <v>115</v>
      </c>
      <c r="I93" s="164">
        <f>SUMIF(WMS용마재고!$A:$A,"S154-01.75-1.25", WMS용마재고!$L:$L)</f>
        <v>45</v>
      </c>
      <c r="J93" s="164">
        <f>SUMIF(WMS용마재고!$A:$A,"S154-02.00-1.25", WMS용마재고!$L:$L)</f>
        <v>128</v>
      </c>
      <c r="K93" s="164">
        <f>SUMIF(WMS용마재고!$A:$A,"S154-02.25-1.25", WMS용마재고!$L:$L)</f>
        <v>58</v>
      </c>
      <c r="L93" s="164">
        <f>SUMIF(WMS용마재고!$A:$A,"S154-02.50-1.25", WMS용마재고!$L:$L)</f>
        <v>128</v>
      </c>
      <c r="M93" s="164">
        <f>SUMIF(WMS용마재고!$A:$A,"S154-02.75-1.25", WMS용마재고!$L:$L)</f>
        <v>268</v>
      </c>
      <c r="N93" s="164">
        <f>SUMIF(WMS용마재고!$A:$A,"S154-03.00-1.25", WMS용마재고!$L:$L)</f>
        <v>423</v>
      </c>
      <c r="O93" s="164">
        <f>SUMIF(WMS용마재고!$A:$A,"S154-03.25-1.25", WMS용마재고!$L:$L)</f>
        <v>130</v>
      </c>
      <c r="P93" s="164">
        <f>SUMIF(WMS용마재고!$A:$A,"S154-03.50-1.25", WMS용마재고!$L:$L)</f>
        <v>94</v>
      </c>
      <c r="Q93" s="164">
        <f>SUMIF(WMS용마재고!$A:$A,"S154-03.75-1.25", WMS용마재고!$L:$L)</f>
        <v>80</v>
      </c>
      <c r="R93" s="164">
        <f>SUMIF(WMS용마재고!$A:$A,"S154-04.00-1.25", WMS용마재고!$L:$L)</f>
        <v>258</v>
      </c>
      <c r="S93" s="164">
        <f>SUMIF(WMS용마재고!$A:$A,"S154-04.25-1.25", WMS용마재고!$L:$L)</f>
        <v>136</v>
      </c>
      <c r="T93" s="164">
        <f>SUMIF(WMS용마재고!$A:$A,"S154-04.50-1.25", WMS용마재고!$L:$L)</f>
        <v>271</v>
      </c>
      <c r="U93" s="164">
        <f>SUMIF(WMS용마재고!$A:$A,"S154-04.75-1.25", WMS용마재고!$L:$L)</f>
        <v>188</v>
      </c>
      <c r="V93" s="164">
        <f>SUMIF(WMS용마재고!$A:$A,"S154-05.00-1.25", WMS용마재고!$L:$L)</f>
        <v>156</v>
      </c>
      <c r="W93" s="164">
        <f>SUMIF(WMS용마재고!$A:$A,"S154-05.25-1.25", WMS용마재고!$L:$L)</f>
        <v>115</v>
      </c>
      <c r="X93" s="164">
        <f>SUMIF(WMS용마재고!$A:$A,"S154-05.50-1.25", WMS용마재고!$L:$L)</f>
        <v>226</v>
      </c>
      <c r="Y93" s="164">
        <f>SUMIF(WMS용마재고!$A:$A,"S154-05.75-1.25", WMS용마재고!$L:$L)</f>
        <v>83</v>
      </c>
      <c r="Z93" s="164">
        <f>SUMIF(WMS용마재고!$A:$A,"S154-06.00-1.25", WMS용마재고!$L:$L)</f>
        <v>188</v>
      </c>
      <c r="AA93" s="164">
        <f>SUMIF(WMS용마재고!$A:$A,"S154-06.50-1.25", WMS용마재고!$L:$L)</f>
        <v>93</v>
      </c>
      <c r="AB93" s="164">
        <f>SUMIF(WMS용마재고!$A:$A,"S154-07.00-1.25", WMS용마재고!$L:$L)</f>
        <v>169</v>
      </c>
      <c r="AC93" s="164">
        <f>SUMIF(WMS용마재고!$A:$A,"S154-07.50-1.25", WMS용마재고!$L:$L)</f>
        <v>184</v>
      </c>
      <c r="AD93" s="164">
        <f>SUMIF(WMS용마재고!$A:$A,"S154-08.00-1.25", WMS용마재고!$L:$L)</f>
        <v>370</v>
      </c>
      <c r="AE93" s="164">
        <f>SUMIF(WMS용마재고!$A:$A,"S154-08.50-1.25", WMS용마재고!$L:$L)</f>
        <v>93</v>
      </c>
      <c r="AF93" s="164">
        <f>SUMIF(WMS용마재고!$A:$A,"S154-09.00-1.25", WMS용마재고!$L:$L)</f>
        <v>13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177</v>
      </c>
      <c r="AP93" s="191">
        <f>SUMIF(WMS용마재고!$A:$A,"S154-00.50-1.25", WMS용마재고!$L:$L)</f>
        <v>767</v>
      </c>
      <c r="AQ93" s="191">
        <f>SUMIF(WMS용마재고!$A:$A,"S154-00.75-1.25", WMS용마재고!$L:$L)</f>
        <v>441</v>
      </c>
      <c r="AR93" s="191">
        <f>SUMIF(WMS용마재고!$A:$A,"S154-01.00-1.25", WMS용마재고!$L:$L)</f>
        <v>533</v>
      </c>
      <c r="AS93" s="191">
        <f>SUMIF(WMS용마재고!$A:$A,"S154-01.25-1.25", WMS용마재고!$L:$L)</f>
        <v>431</v>
      </c>
      <c r="AT93" s="191">
        <f>SUMIF(WMS용마재고!$A:$A,"S154-01.50-1.25", WMS용마재고!$L:$L)</f>
        <v>115</v>
      </c>
      <c r="AU93" s="191">
        <f>SUMIF(WMS용마재고!$A:$A,"S154-01.75-1.25", WMS용마재고!$L:$L)</f>
        <v>45</v>
      </c>
      <c r="AV93" s="191">
        <f>SUMIF(WMS용마재고!$A:$A,"S154-02.00-1.25", WMS용마재고!$L:$L)</f>
        <v>128</v>
      </c>
      <c r="AW93" s="191">
        <f>SUMIF(WMS용마재고!$A:$A,"S154-02.25-1.25", WMS용마재고!$L:$L)</f>
        <v>58</v>
      </c>
      <c r="AX93" s="191">
        <f>SUMIF(WMS용마재고!$A:$A,"S154-02.50-1.25", WMS용마재고!$L:$L)</f>
        <v>128</v>
      </c>
      <c r="AY93" s="191">
        <f>SUMIF(WMS용마재고!$A:$A,"S154-02.75-1.25", WMS용마재고!$L:$L)</f>
        <v>268</v>
      </c>
      <c r="AZ93" s="191">
        <f>SUMIF(WMS용마재고!$A:$A,"S154-03.00-1.25", WMS용마재고!$L:$L)</f>
        <v>423</v>
      </c>
      <c r="BA93" s="191">
        <f>SUMIF(WMS용마재고!$A:$A,"S154-03.25-1.25", WMS용마재고!$L:$L)</f>
        <v>130</v>
      </c>
      <c r="BB93" s="191">
        <f>SUMIF(WMS용마재고!$A:$A,"S154-03.50-1.25", WMS용마재고!$L:$L)</f>
        <v>94</v>
      </c>
      <c r="BC93" s="191">
        <f>SUMIF(WMS용마재고!$A:$A,"S154-03.75-1.25", WMS용마재고!$L:$L)</f>
        <v>80</v>
      </c>
      <c r="BD93" s="191">
        <f>SUMIF(WMS용마재고!$A:$A,"S154-04.00-1.25", WMS용마재고!$L:$L)</f>
        <v>258</v>
      </c>
      <c r="BE93" s="191">
        <f>SUMIF(WMS용마재고!$A:$A,"S154-04.25-1.25", WMS용마재고!$L:$L)</f>
        <v>136</v>
      </c>
      <c r="BF93" s="191">
        <f>SUMIF(WMS용마재고!$A:$A,"S154-04.50-1.25", WMS용마재고!$L:$L)</f>
        <v>271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156</v>
      </c>
      <c r="BI93" s="191">
        <f>SUMIF(WMS용마재고!$A:$A,"S154-05.25-1.25", WMS용마재고!$L:$L)</f>
        <v>115</v>
      </c>
      <c r="BJ93" s="191">
        <f>SUMIF(WMS용마재고!$A:$A,"S154-05.50-1.25", WMS용마재고!$L:$L)</f>
        <v>226</v>
      </c>
      <c r="BK93" s="191">
        <f>SUMIF(WMS용마재고!$A:$A,"S154-05.75-1.25", WMS용마재고!$L:$L)</f>
        <v>83</v>
      </c>
      <c r="BL93" s="191">
        <f>SUMIF(WMS용마재고!$A:$A,"S154-06.00-1.25", WMS용마재고!$L:$L)</f>
        <v>188</v>
      </c>
      <c r="BM93" s="191">
        <f>SUMIF(WMS용마재고!$A:$A,"S154-06.50-1.25", WMS용마재고!$L:$L)</f>
        <v>93</v>
      </c>
      <c r="BN93" s="191">
        <f>SUMIF(WMS용마재고!$A:$A,"S154-07.00-1.25", WMS용마재고!$L:$L)</f>
        <v>169</v>
      </c>
      <c r="BO93" s="191">
        <f>SUMIF(WMS용마재고!$A:$A,"S154-07.50-1.25", WMS용마재고!$L:$L)</f>
        <v>184</v>
      </c>
      <c r="BP93" s="191">
        <f>SUMIF(WMS용마재고!$A:$A,"S154-08.00-1.25", WMS용마재고!$L:$L)</f>
        <v>370</v>
      </c>
      <c r="BQ93" s="191">
        <f>SUMIF(WMS용마재고!$A:$A,"S154-08.50-1.25", WMS용마재고!$L:$L)</f>
        <v>93</v>
      </c>
      <c r="BR93" s="191">
        <f>SUMIF(WMS용마재고!$A:$A,"S154-09.00-1.25", WMS용마재고!$L:$L)</f>
        <v>13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182</v>
      </c>
      <c r="BZ93" s="192">
        <v>767</v>
      </c>
      <c r="CA93" s="192">
        <v>441</v>
      </c>
      <c r="CB93" s="192">
        <v>538</v>
      </c>
      <c r="CC93" s="192">
        <v>436</v>
      </c>
      <c r="CD93" s="192">
        <v>120</v>
      </c>
      <c r="CE93" s="192">
        <v>50</v>
      </c>
      <c r="CF93" s="192">
        <v>133</v>
      </c>
      <c r="CG93" s="192">
        <v>63</v>
      </c>
      <c r="CH93" s="192">
        <v>133</v>
      </c>
      <c r="CI93" s="192">
        <v>273</v>
      </c>
      <c r="CJ93" s="192">
        <v>428</v>
      </c>
      <c r="CK93" s="192">
        <v>135</v>
      </c>
      <c r="CL93" s="192">
        <v>99</v>
      </c>
      <c r="CM93" s="192">
        <v>85</v>
      </c>
      <c r="CN93" s="192">
        <v>263</v>
      </c>
      <c r="CO93" s="192">
        <v>141</v>
      </c>
      <c r="CP93" s="192">
        <v>276</v>
      </c>
      <c r="CQ93" s="193">
        <v>193</v>
      </c>
      <c r="CR93" s="193">
        <v>161</v>
      </c>
      <c r="CS93" s="193">
        <v>115</v>
      </c>
      <c r="CT93" s="193">
        <v>226</v>
      </c>
      <c r="CU93" s="193">
        <v>83</v>
      </c>
      <c r="CV93" s="193">
        <v>188</v>
      </c>
      <c r="CW93" s="193">
        <v>93</v>
      </c>
      <c r="CX93" s="193">
        <v>169</v>
      </c>
      <c r="CY93" s="193">
        <v>184</v>
      </c>
      <c r="CZ93" s="193">
        <v>370</v>
      </c>
      <c r="DA93" s="193">
        <v>93</v>
      </c>
      <c r="DB93" s="193">
        <v>13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66</v>
      </c>
      <c r="D94" s="164">
        <f>SUMIF(WMS용마재고!$A:$A,"S154-00.50-1.75", WMS용마재고!$L:$L)</f>
        <v>128</v>
      </c>
      <c r="E94" s="164">
        <f>SUMIF(WMS용마재고!$A:$A,"S154-00.75-1.75", WMS용마재고!$L:$L)</f>
        <v>208</v>
      </c>
      <c r="F94" s="164">
        <f>SUMIF(WMS용마재고!$A:$A,"S154-01.00-1.75", WMS용마재고!$L:$L)</f>
        <v>34</v>
      </c>
      <c r="G94" s="164">
        <f>SUMIF(WMS용마재고!$A:$A,"S154-01.25-1.75", WMS용마재고!$L:$L)</f>
        <v>32</v>
      </c>
      <c r="H94" s="164">
        <f>SUMIF(WMS용마재고!$A:$A,"S154-01.50-1.75", WMS용마재고!$L:$L)</f>
        <v>61</v>
      </c>
      <c r="I94" s="164">
        <f>SUMIF(WMS용마재고!$A:$A,"S154-01.75-1.75", WMS용마재고!$L:$L)</f>
        <v>192</v>
      </c>
      <c r="J94" s="164">
        <f>SUMIF(WMS용마재고!$A:$A,"S154-02.00-1.75", WMS용마재고!$L:$L)</f>
        <v>140</v>
      </c>
      <c r="K94" s="164">
        <f>SUMIF(WMS용마재고!$A:$A,"S154-02.25-1.75", WMS용마재고!$L:$L)</f>
        <v>35</v>
      </c>
      <c r="L94" s="164">
        <f>SUMIF(WMS용마재고!$A:$A,"S154-02.50-1.75", WMS용마재고!$L:$L)</f>
        <v>15</v>
      </c>
      <c r="M94" s="164">
        <f>SUMIF(WMS용마재고!$A:$A,"S154-02.75-1.75", WMS용마재고!$L:$L)</f>
        <v>91</v>
      </c>
      <c r="N94" s="164">
        <f>SUMIF(WMS용마재고!$A:$A,"S154-03.00-1.75", WMS용마재고!$L:$L)</f>
        <v>20</v>
      </c>
      <c r="O94" s="164">
        <f>SUMIF(WMS용마재고!$A:$A,"S154-03.25-1.75", WMS용마재고!$L:$L)</f>
        <v>79</v>
      </c>
      <c r="P94" s="164">
        <f>SUMIF(WMS용마재고!$A:$A,"S154-03.50-1.75", WMS용마재고!$L:$L)</f>
        <v>145</v>
      </c>
      <c r="Q94" s="164">
        <f>SUMIF(WMS용마재고!$A:$A,"S154-03.75-1.75", WMS용마재고!$L:$L)</f>
        <v>91</v>
      </c>
      <c r="R94" s="164">
        <f>SUMIF(WMS용마재고!$A:$A,"S154-04.00-1.75", WMS용마재고!$L:$L)</f>
        <v>45</v>
      </c>
      <c r="S94" s="164">
        <f>SUMIF(WMS용마재고!$A:$A,"S154-04.25-1.75", WMS용마재고!$L:$L)</f>
        <v>71</v>
      </c>
      <c r="T94" s="164">
        <f>SUMIF(WMS용마재고!$A:$A,"S154-04.50-1.75", WMS용마재고!$L:$L)</f>
        <v>161</v>
      </c>
      <c r="U94" s="164">
        <f>SUMIF(WMS용마재고!$A:$A,"S154-04.75-1.75", WMS용마재고!$L:$L)</f>
        <v>36</v>
      </c>
      <c r="V94" s="164">
        <f>SUMIF(WMS용마재고!$A:$A,"S154-05.00-1.75", WMS용마재고!$L:$L)</f>
        <v>138</v>
      </c>
      <c r="W94" s="164">
        <f>SUMIF(WMS용마재고!$A:$A,"S154-05.25-1.75", WMS용마재고!$L:$L)</f>
        <v>88</v>
      </c>
      <c r="X94" s="164">
        <f>SUMIF(WMS용마재고!$A:$A,"S154-05.50-1.75", WMS용마재고!$L:$L)</f>
        <v>91</v>
      </c>
      <c r="Y94" s="164">
        <f>SUMIF(WMS용마재고!$A:$A,"S154-05.75-1.75", WMS용마재고!$L:$L)</f>
        <v>53</v>
      </c>
      <c r="Z94" s="164">
        <f>SUMIF(WMS용마재고!$A:$A,"S154-06.00-1.75", WMS용마재고!$L:$L)</f>
        <v>133</v>
      </c>
      <c r="AA94" s="164">
        <f>SUMIF(WMS용마재고!$A:$A,"S154-06.50-1.75", WMS용마재고!$L:$L)</f>
        <v>185</v>
      </c>
      <c r="AB94" s="164">
        <f>SUMIF(WMS용마재고!$A:$A,"S154-07.00-1.75", WMS용마재고!$L:$L)</f>
        <v>119</v>
      </c>
      <c r="AC94" s="164">
        <f>SUMIF(WMS용마재고!$A:$A,"S154-07.50-1.75", WMS용마재고!$L:$L)</f>
        <v>152</v>
      </c>
      <c r="AD94" s="164">
        <f>SUMIF(WMS용마재고!$A:$A,"S154-08.00-1.75", WMS용마재고!$L:$L)</f>
        <v>150</v>
      </c>
      <c r="AE94" s="164">
        <f>SUMIF(WMS용마재고!$A:$A,"S154-08.50-1.75", WMS용마재고!$L:$L)</f>
        <v>35</v>
      </c>
      <c r="AF94" s="164">
        <f>SUMIF(WMS용마재고!$A:$A,"S154-09.00-1.75", WMS용마재고!$L:$L)</f>
        <v>20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66</v>
      </c>
      <c r="AP94" s="191">
        <f>SUMIF(WMS용마재고!$A:$A,"S154-00.50-1.75", WMS용마재고!$L:$L)</f>
        <v>128</v>
      </c>
      <c r="AQ94" s="191">
        <f>SUMIF(WMS용마재고!$A:$A,"S154-00.75-1.75", WMS용마재고!$L:$L)</f>
        <v>208</v>
      </c>
      <c r="AR94" s="191">
        <f>SUMIF(WMS용마재고!$A:$A,"S154-01.00-1.75", WMS용마재고!$L:$L)</f>
        <v>34</v>
      </c>
      <c r="AS94" s="191">
        <f>SUMIF(WMS용마재고!$A:$A,"S154-01.25-1.75", WMS용마재고!$L:$L)</f>
        <v>32</v>
      </c>
      <c r="AT94" s="191">
        <f>SUMIF(WMS용마재고!$A:$A,"S154-01.50-1.75", WMS용마재고!$L:$L)</f>
        <v>61</v>
      </c>
      <c r="AU94" s="191">
        <f>SUMIF(WMS용마재고!$A:$A,"S154-01.75-1.75", WMS용마재고!$L:$L)</f>
        <v>192</v>
      </c>
      <c r="AV94" s="191">
        <f>SUMIF(WMS용마재고!$A:$A,"S154-02.00-1.75", WMS용마재고!$L:$L)</f>
        <v>140</v>
      </c>
      <c r="AW94" s="191">
        <f>SUMIF(WMS용마재고!$A:$A,"S154-02.25-1.75", WMS용마재고!$L:$L)</f>
        <v>35</v>
      </c>
      <c r="AX94" s="191">
        <f>SUMIF(WMS용마재고!$A:$A,"S154-02.50-1.75", WMS용마재고!$L:$L)</f>
        <v>15</v>
      </c>
      <c r="AY94" s="191">
        <f>SUMIF(WMS용마재고!$A:$A,"S154-02.75-1.75", WMS용마재고!$L:$L)</f>
        <v>91</v>
      </c>
      <c r="AZ94" s="191">
        <f>SUMIF(WMS용마재고!$A:$A,"S154-03.00-1.75", WMS용마재고!$L:$L)</f>
        <v>20</v>
      </c>
      <c r="BA94" s="191">
        <f>SUMIF(WMS용마재고!$A:$A,"S154-03.25-1.75", WMS용마재고!$L:$L)</f>
        <v>79</v>
      </c>
      <c r="BB94" s="191">
        <f>SUMIF(WMS용마재고!$A:$A,"S154-03.50-1.75", WMS용마재고!$L:$L)</f>
        <v>145</v>
      </c>
      <c r="BC94" s="191">
        <f>SUMIF(WMS용마재고!$A:$A,"S154-03.75-1.75", WMS용마재고!$L:$L)</f>
        <v>91</v>
      </c>
      <c r="BD94" s="191">
        <f>SUMIF(WMS용마재고!$A:$A,"S154-04.00-1.75", WMS용마재고!$L:$L)</f>
        <v>45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161</v>
      </c>
      <c r="BG94" s="191">
        <f>SUMIF(WMS용마재고!$A:$A,"S154-04.75-1.75", WMS용마재고!$L:$L)</f>
        <v>36</v>
      </c>
      <c r="BH94" s="191">
        <f>SUMIF(WMS용마재고!$A:$A,"S154-05.00-1.75", WMS용마재고!$L:$L)</f>
        <v>138</v>
      </c>
      <c r="BI94" s="191">
        <f>SUMIF(WMS용마재고!$A:$A,"S154-05.25-1.75", WMS용마재고!$L:$L)</f>
        <v>88</v>
      </c>
      <c r="BJ94" s="191">
        <f>SUMIF(WMS용마재고!$A:$A,"S154-05.50-1.75", WMS용마재고!$L:$L)</f>
        <v>91</v>
      </c>
      <c r="BK94" s="191">
        <f>SUMIF(WMS용마재고!$A:$A,"S154-05.75-1.75", WMS용마재고!$L:$L)</f>
        <v>53</v>
      </c>
      <c r="BL94" s="191">
        <f>SUMIF(WMS용마재고!$A:$A,"S154-06.00-1.75", WMS용마재고!$L:$L)</f>
        <v>133</v>
      </c>
      <c r="BM94" s="191">
        <f>SUMIF(WMS용마재고!$A:$A,"S154-06.50-1.75", WMS용마재고!$L:$L)</f>
        <v>185</v>
      </c>
      <c r="BN94" s="191">
        <f>SUMIF(WMS용마재고!$A:$A,"S154-07.00-1.75", WMS용마재고!$L:$L)</f>
        <v>119</v>
      </c>
      <c r="BO94" s="191">
        <f>SUMIF(WMS용마재고!$A:$A,"S154-07.50-1.75", WMS용마재고!$L:$L)</f>
        <v>152</v>
      </c>
      <c r="BP94" s="191">
        <f>SUMIF(WMS용마재고!$A:$A,"S154-08.00-1.75", WMS용마재고!$L:$L)</f>
        <v>150</v>
      </c>
      <c r="BQ94" s="191">
        <f>SUMIF(WMS용마재고!$A:$A,"S154-08.50-1.75", WMS용마재고!$L:$L)</f>
        <v>35</v>
      </c>
      <c r="BR94" s="191">
        <f>SUMIF(WMS용마재고!$A:$A,"S154-09.00-1.75", WMS용마재고!$L:$L)</f>
        <v>20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71</v>
      </c>
      <c r="BZ94" s="192">
        <v>128</v>
      </c>
      <c r="CA94" s="192">
        <v>208</v>
      </c>
      <c r="CB94" s="192">
        <v>39</v>
      </c>
      <c r="CC94" s="192">
        <v>37</v>
      </c>
      <c r="CD94" s="192">
        <v>66</v>
      </c>
      <c r="CE94" s="192">
        <v>197</v>
      </c>
      <c r="CF94" s="192">
        <v>145</v>
      </c>
      <c r="CG94" s="192">
        <v>40</v>
      </c>
      <c r="CH94" s="192">
        <v>20</v>
      </c>
      <c r="CI94" s="192">
        <v>96</v>
      </c>
      <c r="CJ94" s="192">
        <v>25</v>
      </c>
      <c r="CK94" s="192">
        <v>84</v>
      </c>
      <c r="CL94" s="192">
        <v>150</v>
      </c>
      <c r="CM94" s="192">
        <v>96</v>
      </c>
      <c r="CN94" s="192">
        <v>50</v>
      </c>
      <c r="CO94" s="192">
        <v>76</v>
      </c>
      <c r="CP94" s="192">
        <v>166</v>
      </c>
      <c r="CQ94" s="193">
        <v>41</v>
      </c>
      <c r="CR94" s="193">
        <v>143</v>
      </c>
      <c r="CS94" s="193">
        <v>88</v>
      </c>
      <c r="CT94" s="193">
        <v>91</v>
      </c>
      <c r="CU94" s="193">
        <v>53</v>
      </c>
      <c r="CV94" s="193">
        <v>133</v>
      </c>
      <c r="CW94" s="193">
        <v>185</v>
      </c>
      <c r="CX94" s="193">
        <v>119</v>
      </c>
      <c r="CY94" s="193">
        <v>152</v>
      </c>
      <c r="CZ94" s="193">
        <v>150</v>
      </c>
      <c r="DA94" s="193">
        <v>35</v>
      </c>
      <c r="DB94" s="193">
        <v>20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496</v>
      </c>
      <c r="D95" s="164">
        <f>SUMIF(WMS용마재고!$A:$A,"S159-00.50-0.75", WMS용마재고!$L:$L)</f>
        <v>375</v>
      </c>
      <c r="E95" s="164">
        <f>SUMIF(WMS용마재고!$A:$A,"S159-00.75-0.75", WMS용마재고!$L:$L)</f>
        <v>594</v>
      </c>
      <c r="F95" s="164">
        <f>SUMIF(WMS용마재고!$A:$A,"S159-01.00-0.75", WMS용마재고!$L:$L)</f>
        <v>723</v>
      </c>
      <c r="G95" s="164">
        <f>SUMIF(WMS용마재고!$A:$A,"S159-01.25-0.75", WMS용마재고!$L:$L)</f>
        <v>102</v>
      </c>
      <c r="H95" s="164">
        <f>SUMIF(WMS용마재고!$A:$A,"S159-01.50-0.75", WMS용마재고!$L:$L)</f>
        <v>224</v>
      </c>
      <c r="I95" s="164">
        <f>SUMIF(WMS용마재고!$A:$A,"S159-01.75-0.75", WMS용마재고!$L:$L)</f>
        <v>443</v>
      </c>
      <c r="J95" s="164">
        <f>SUMIF(WMS용마재고!$A:$A,"S159-02.00-0.75", WMS용마재고!$L:$L)</f>
        <v>383</v>
      </c>
      <c r="K95" s="164">
        <f>SUMIF(WMS용마재고!$A:$A,"S159-02.25-0.75", WMS용마재고!$L:$L)</f>
        <v>312</v>
      </c>
      <c r="L95" s="164">
        <f>SUMIF(WMS용마재고!$A:$A,"S159-02.50-0.75", WMS용마재고!$L:$L)</f>
        <v>254</v>
      </c>
      <c r="M95" s="164">
        <f>SUMIF(WMS용마재고!$A:$A,"S159-02.75-0.75", WMS용마재고!$L:$L)</f>
        <v>296</v>
      </c>
      <c r="N95" s="164">
        <f>SUMIF(WMS용마재고!$A:$A,"S159-03.00-0.75", WMS용마재고!$L:$L)</f>
        <v>115</v>
      </c>
      <c r="O95" s="164">
        <f>SUMIF(WMS용마재고!$A:$A,"S159-03.25-0.75", WMS용마재고!$L:$L)</f>
        <v>232</v>
      </c>
      <c r="P95" s="164">
        <f>SUMIF(WMS용마재고!$A:$A,"S159-03.50-0.75", WMS용마재고!$L:$L)</f>
        <v>223</v>
      </c>
      <c r="Q95" s="164">
        <f>SUMIF(WMS용마재고!$A:$A,"S159-03.75-0.75", WMS용마재고!$L:$L)</f>
        <v>61</v>
      </c>
      <c r="R95" s="164">
        <f>SUMIF(WMS용마재고!$A:$A,"S159-04.00-0.75", WMS용마재고!$L:$L)</f>
        <v>223</v>
      </c>
      <c r="S95" s="164">
        <f>SUMIF(WMS용마재고!$A:$A,"S159-04.25-0.75", WMS용마재고!$L:$L)</f>
        <v>86</v>
      </c>
      <c r="T95" s="164">
        <f>SUMIF(WMS용마재고!$A:$A,"S159-04.50-0.75", WMS용마재고!$L:$L)</f>
        <v>35</v>
      </c>
      <c r="U95" s="164">
        <f>SUMIF(WMS용마재고!$A:$A,"S159-04.75-0.75", WMS용마재고!$L:$L)</f>
        <v>284</v>
      </c>
      <c r="V95" s="164">
        <f>SUMIF(WMS용마재고!$A:$A,"S159-05.00-0.75", WMS용마재고!$L:$L)</f>
        <v>157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227</v>
      </c>
      <c r="Y95" s="164">
        <f>SUMIF(WMS용마재고!$A:$A,"S159-05.75-0.75", WMS용마재고!$L:$L)</f>
        <v>436</v>
      </c>
      <c r="Z95" s="164">
        <f>SUMIF(WMS용마재고!$A:$A,"S159-06.00-0.75", WMS용마재고!$L:$L)</f>
        <v>93</v>
      </c>
      <c r="AA95" s="164">
        <f>SUMIF(WMS용마재고!$A:$A,"S159-06.50-0.75", WMS용마재고!$L:$L)</f>
        <v>40</v>
      </c>
      <c r="AB95" s="164">
        <f>SUMIF(WMS용마재고!$A:$A,"S159-07.00-0.75", WMS용마재고!$L:$L)</f>
        <v>254</v>
      </c>
      <c r="AC95" s="164">
        <f>SUMIF(WMS용마재고!$A:$A,"S159-07.50-0.75", WMS용마재고!$L:$L)</f>
        <v>372</v>
      </c>
      <c r="AD95" s="164">
        <f>SUMIF(WMS용마재고!$A:$A,"S159-08.00-0.75", WMS용마재고!$L:$L)</f>
        <v>293</v>
      </c>
      <c r="AE95" s="164">
        <f>SUMIF(WMS용마재고!$A:$A,"S159-08.50-0.75", WMS용마재고!$L:$L)</f>
        <v>605</v>
      </c>
      <c r="AF95" s="164">
        <f>SUMIF(WMS용마재고!$A:$A,"S159-09.00-0.75", WMS용마재고!$L:$L)</f>
        <v>193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496</v>
      </c>
      <c r="AP95" s="191">
        <f>SUMIF(WMS용마재고!$A:$A,"S159-00.50-0.75", WMS용마재고!$L:$L)</f>
        <v>375</v>
      </c>
      <c r="AQ95" s="191">
        <f>SUMIF(WMS용마재고!$A:$A,"S159-00.75-0.75", WMS용마재고!$L:$L)</f>
        <v>594</v>
      </c>
      <c r="AR95" s="191">
        <f>SUMIF(WMS용마재고!$A:$A,"S159-01.00-0.75", WMS용마재고!$L:$L)</f>
        <v>723</v>
      </c>
      <c r="AS95" s="191">
        <f>SUMIF(WMS용마재고!$A:$A,"S159-01.25-0.75", WMS용마재고!$L:$L)</f>
        <v>102</v>
      </c>
      <c r="AT95" s="191">
        <f>SUMIF(WMS용마재고!$A:$A,"S159-01.50-0.75", WMS용마재고!$L:$L)</f>
        <v>224</v>
      </c>
      <c r="AU95" s="191">
        <f>SUMIF(WMS용마재고!$A:$A,"S159-01.75-0.75", WMS용마재고!$L:$L)</f>
        <v>443</v>
      </c>
      <c r="AV95" s="191">
        <f>SUMIF(WMS용마재고!$A:$A,"S159-02.00-0.75", WMS용마재고!$L:$L)</f>
        <v>383</v>
      </c>
      <c r="AW95" s="191">
        <f>SUMIF(WMS용마재고!$A:$A,"S159-02.25-0.75", WMS용마재고!$L:$L)</f>
        <v>312</v>
      </c>
      <c r="AX95" s="191">
        <f>SUMIF(WMS용마재고!$A:$A,"S159-02.50-0.75", WMS용마재고!$L:$L)</f>
        <v>254</v>
      </c>
      <c r="AY95" s="191">
        <f>SUMIF(WMS용마재고!$A:$A,"S159-02.75-0.75", WMS용마재고!$L:$L)</f>
        <v>296</v>
      </c>
      <c r="AZ95" s="191">
        <f>SUMIF(WMS용마재고!$A:$A,"S159-03.00-0.75", WMS용마재고!$L:$L)</f>
        <v>115</v>
      </c>
      <c r="BA95" s="191">
        <f>SUMIF(WMS용마재고!$A:$A,"S159-03.25-0.75", WMS용마재고!$L:$L)</f>
        <v>232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61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86</v>
      </c>
      <c r="BF95" s="191">
        <f>SUMIF(WMS용마재고!$A:$A,"S159-04.50-0.75", WMS용마재고!$L:$L)</f>
        <v>35</v>
      </c>
      <c r="BG95" s="191">
        <f>SUMIF(WMS용마재고!$A:$A,"S159-04.75-0.75", WMS용마재고!$L:$L)</f>
        <v>284</v>
      </c>
      <c r="BH95" s="191">
        <f>SUMIF(WMS용마재고!$A:$A,"S159-05.00-0.75", WMS용마재고!$L:$L)</f>
        <v>157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227</v>
      </c>
      <c r="BK95" s="191"/>
      <c r="BL95" s="191">
        <f>SUMIF(WMS용마재고!$A:$A,"S159-06.00-0.75", WMS용마재고!$L:$L)</f>
        <v>93</v>
      </c>
      <c r="BM95" s="191">
        <f>SUMIF(WMS용마재고!$A:$A,"S159-06.50-0.75", WMS용마재고!$L:$L)</f>
        <v>40</v>
      </c>
      <c r="BN95" s="191">
        <f>SUMIF(WMS용마재고!$A:$A,"S159-07.00-0.75", WMS용마재고!$L:$L)</f>
        <v>254</v>
      </c>
      <c r="BO95" s="191">
        <f>SUMIF(WMS용마재고!$A:$A,"S159-07.50-0.75", WMS용마재고!$L:$L)</f>
        <v>372</v>
      </c>
      <c r="BP95" s="191">
        <f>SUMIF(WMS용마재고!$A:$A,"S159-08.00-0.75", WMS용마재고!$L:$L)</f>
        <v>293</v>
      </c>
      <c r="BQ95" s="191">
        <f>SUMIF(WMS용마재고!$A:$A,"S159-08.50-0.75", WMS용마재고!$L:$L)</f>
        <v>605</v>
      </c>
      <c r="BR95" s="191">
        <f>SUMIF(WMS용마재고!$A:$A,"S159-09.00-0.75", WMS용마재고!$L:$L)</f>
        <v>193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496</v>
      </c>
      <c r="BZ95" s="192">
        <v>375</v>
      </c>
      <c r="CA95" s="192">
        <v>594</v>
      </c>
      <c r="CB95" s="192">
        <v>723</v>
      </c>
      <c r="CC95" s="192">
        <v>102</v>
      </c>
      <c r="CD95" s="192">
        <v>224</v>
      </c>
      <c r="CE95" s="192">
        <v>443</v>
      </c>
      <c r="CF95" s="192">
        <v>383</v>
      </c>
      <c r="CG95" s="192">
        <v>312</v>
      </c>
      <c r="CH95" s="192">
        <v>254</v>
      </c>
      <c r="CI95" s="192">
        <v>296</v>
      </c>
      <c r="CJ95" s="192">
        <v>115</v>
      </c>
      <c r="CK95" s="192">
        <v>232</v>
      </c>
      <c r="CL95" s="192">
        <v>223</v>
      </c>
      <c r="CM95" s="192">
        <v>61</v>
      </c>
      <c r="CN95" s="192">
        <v>223</v>
      </c>
      <c r="CO95" s="192">
        <v>86</v>
      </c>
      <c r="CP95" s="192">
        <v>35</v>
      </c>
      <c r="CQ95" s="193">
        <v>284</v>
      </c>
      <c r="CR95" s="193">
        <v>157</v>
      </c>
      <c r="CS95" s="193">
        <v>206</v>
      </c>
      <c r="CT95" s="193">
        <v>227</v>
      </c>
      <c r="CU95" s="193"/>
      <c r="CV95" s="193">
        <v>93</v>
      </c>
      <c r="CW95" s="193">
        <v>40</v>
      </c>
      <c r="CX95" s="193">
        <v>254</v>
      </c>
      <c r="CY95" s="193">
        <v>372</v>
      </c>
      <c r="CZ95" s="193">
        <v>293</v>
      </c>
      <c r="DA95" s="193">
        <v>605</v>
      </c>
      <c r="DB95" s="193">
        <v>193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16</v>
      </c>
      <c r="D96" s="164">
        <f>SUMIF(WMS용마재고!$A:$A,"S159-00.50-1.25", WMS용마재고!$L:$L)</f>
        <v>374</v>
      </c>
      <c r="E96" s="164">
        <f>SUMIF(WMS용마재고!$A:$A,"S159-00.75-1.25", WMS용마재고!$L:$L)</f>
        <v>472</v>
      </c>
      <c r="F96" s="164">
        <f>SUMIF(WMS용마재고!$A:$A,"S159-01.00-1.25", WMS용마재고!$L:$L)</f>
        <v>291</v>
      </c>
      <c r="G96" s="164">
        <f>SUMIF(WMS용마재고!$A:$A,"S159-01.25-1.25", WMS용마재고!$L:$L)</f>
        <v>179</v>
      </c>
      <c r="H96" s="164">
        <f>SUMIF(WMS용마재고!$A:$A,"S159-01.50-1.25", WMS용마재고!$L:$L)</f>
        <v>244</v>
      </c>
      <c r="I96" s="164">
        <f>SUMIF(WMS용마재고!$A:$A,"S159-01.75-1.25", WMS용마재고!$L:$L)</f>
        <v>48</v>
      </c>
      <c r="J96" s="164">
        <f>SUMIF(WMS용마재고!$A:$A,"S159-02.00-1.25", WMS용마재고!$L:$L)</f>
        <v>280</v>
      </c>
      <c r="K96" s="164">
        <f>SUMIF(WMS용마재고!$A:$A,"S159-02.25-1.25", WMS용마재고!$L:$L)</f>
        <v>26</v>
      </c>
      <c r="L96" s="164">
        <f>SUMIF(WMS용마재고!$A:$A,"S159-02.50-1.25", WMS용마재고!$L:$L)</f>
        <v>28</v>
      </c>
      <c r="M96" s="164">
        <f>SUMIF(WMS용마재고!$A:$A,"S159-02.75-1.25", WMS용마재고!$L:$L)</f>
        <v>218</v>
      </c>
      <c r="N96" s="164">
        <f>SUMIF(WMS용마재고!$A:$A,"S159-03.00-1.25", WMS용마재고!$L:$L)</f>
        <v>156</v>
      </c>
      <c r="O96" s="164">
        <f>SUMIF(WMS용마재고!$A:$A,"S159-03.25-1.25", WMS용마재고!$L:$L)</f>
        <v>39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255</v>
      </c>
      <c r="R96" s="164">
        <f>SUMIF(WMS용마재고!$A:$A,"S159-04.00-1.25", WMS용마재고!$L:$L)</f>
        <v>218</v>
      </c>
      <c r="S96" s="164">
        <f>SUMIF(WMS용마재고!$A:$A,"S159-04.25-1.25", WMS용마재고!$L:$L)</f>
        <v>190</v>
      </c>
      <c r="T96" s="164">
        <f>SUMIF(WMS용마재고!$A:$A,"S159-04.50-1.25", WMS용마재고!$L:$L)</f>
        <v>150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317</v>
      </c>
      <c r="W96" s="164">
        <f>SUMIF(WMS용마재고!$A:$A,"S159-05.25-1.25", WMS용마재고!$L:$L)</f>
        <v>289</v>
      </c>
      <c r="X96" s="164">
        <f>SUMIF(WMS용마재고!$A:$A,"S159-05.50-1.25", WMS용마재고!$L:$L)</f>
        <v>157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63</v>
      </c>
      <c r="AA96" s="164">
        <f>SUMIF(WMS용마재고!$A:$A,"S159-06.50-1.25", WMS용마재고!$L:$L)</f>
        <v>487</v>
      </c>
      <c r="AB96" s="164">
        <f>SUMIF(WMS용마재고!$A:$A,"S159-07.00-1.25", WMS용마재고!$L:$L)</f>
        <v>71</v>
      </c>
      <c r="AC96" s="164">
        <f>SUMIF(WMS용마재고!$A:$A,"S159-07.50-1.25", WMS용마재고!$L:$L)</f>
        <v>211</v>
      </c>
      <c r="AD96" s="164">
        <f>SUMIF(WMS용마재고!$A:$A,"S159-08.00-1.25", WMS용마재고!$L:$L)</f>
        <v>144</v>
      </c>
      <c r="AE96" s="164">
        <f>SUMIF(WMS용마재고!$A:$A,"S159-08.50-1.25", WMS용마재고!$L:$L)</f>
        <v>336</v>
      </c>
      <c r="AF96" s="164">
        <f>SUMIF(WMS용마재고!$A:$A,"S159-09.00-1.25", WMS용마재고!$L:$L)</f>
        <v>466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16</v>
      </c>
      <c r="AP96" s="191">
        <f>SUMIF(WMS용마재고!$A:$A,"S159-00.50-1.25", WMS용마재고!$L:$L)</f>
        <v>374</v>
      </c>
      <c r="AQ96" s="191">
        <f>SUMIF(WMS용마재고!$A:$A,"S159-00.75-1.25", WMS용마재고!$L:$L)</f>
        <v>472</v>
      </c>
      <c r="AR96" s="191">
        <f>SUMIF(WMS용마재고!$A:$A,"S159-01.00-1.25", WMS용마재고!$L:$L)</f>
        <v>291</v>
      </c>
      <c r="AS96" s="191">
        <f>SUMIF(WMS용마재고!$A:$A,"S159-01.25-1.25", WMS용마재고!$L:$L)</f>
        <v>179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48</v>
      </c>
      <c r="AV96" s="191">
        <f>SUMIF(WMS용마재고!$A:$A,"S159-02.00-1.25", WMS용마재고!$L:$L)</f>
        <v>280</v>
      </c>
      <c r="AW96" s="191">
        <f>SUMIF(WMS용마재고!$A:$A,"S159-02.25-1.25", WMS용마재고!$L:$L)</f>
        <v>26</v>
      </c>
      <c r="AX96" s="191">
        <f>SUMIF(WMS용마재고!$A:$A,"S159-02.50-1.25", WMS용마재고!$L:$L)</f>
        <v>28</v>
      </c>
      <c r="AY96" s="191">
        <f>SUMIF(WMS용마재고!$A:$A,"S159-02.75-1.25", WMS용마재고!$L:$L)</f>
        <v>218</v>
      </c>
      <c r="AZ96" s="191">
        <f>SUMIF(WMS용마재고!$A:$A,"S159-03.00-1.25", WMS용마재고!$L:$L)</f>
        <v>156</v>
      </c>
      <c r="BA96" s="191">
        <f>SUMIF(WMS용마재고!$A:$A,"S159-03.25-1.25", WMS용마재고!$L:$L)</f>
        <v>39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255</v>
      </c>
      <c r="BD96" s="191">
        <f>SUMIF(WMS용마재고!$A:$A,"S159-04.00-1.25", WMS용마재고!$L:$L)</f>
        <v>218</v>
      </c>
      <c r="BE96" s="191">
        <f>SUMIF(WMS용마재고!$A:$A,"S159-04.25-1.25", WMS용마재고!$L:$L)</f>
        <v>190</v>
      </c>
      <c r="BF96" s="191">
        <f>SUMIF(WMS용마재고!$A:$A,"S159-04.50-1.25", WMS용마재고!$L:$L)</f>
        <v>150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317</v>
      </c>
      <c r="BI96" s="191">
        <f>SUMIF(WMS용마재고!$A:$A,"S159-05.25-1.25", WMS용마재고!$L:$L)</f>
        <v>289</v>
      </c>
      <c r="BJ96" s="191">
        <f>SUMIF(WMS용마재고!$A:$A,"S159-05.50-1.25", WMS용마재고!$L:$L)</f>
        <v>157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63</v>
      </c>
      <c r="BM96" s="191">
        <f>SUMIF(WMS용마재고!$A:$A,"S159-06.50-1.25", WMS용마재고!$L:$L)</f>
        <v>487</v>
      </c>
      <c r="BN96" s="191">
        <f>SUMIF(WMS용마재고!$A:$A,"S159-07.00-1.25", WMS용마재고!$L:$L)</f>
        <v>71</v>
      </c>
      <c r="BO96" s="191">
        <f>SUMIF(WMS용마재고!$A:$A,"S159-07.50-1.25", WMS용마재고!$L:$L)</f>
        <v>211</v>
      </c>
      <c r="BP96" s="191">
        <f>SUMIF(WMS용마재고!$A:$A,"S159-08.00-1.25", WMS용마재고!$L:$L)</f>
        <v>144</v>
      </c>
      <c r="BQ96" s="191">
        <f>SUMIF(WMS용마재고!$A:$A,"S159-08.50-1.25", WMS용마재고!$L:$L)</f>
        <v>336</v>
      </c>
      <c r="BR96" s="191">
        <f>SUMIF(WMS용마재고!$A:$A,"S159-09.00-1.25", WMS용마재고!$L:$L)</f>
        <v>466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16</v>
      </c>
      <c r="BZ96" s="192">
        <v>374</v>
      </c>
      <c r="CA96" s="192">
        <v>472</v>
      </c>
      <c r="CB96" s="192">
        <v>291</v>
      </c>
      <c r="CC96" s="192">
        <v>179</v>
      </c>
      <c r="CD96" s="192">
        <v>244</v>
      </c>
      <c r="CE96" s="192">
        <v>48</v>
      </c>
      <c r="CF96" s="192">
        <v>280</v>
      </c>
      <c r="CG96" s="192">
        <v>26</v>
      </c>
      <c r="CH96" s="192">
        <v>28</v>
      </c>
      <c r="CI96" s="192">
        <v>218</v>
      </c>
      <c r="CJ96" s="192">
        <v>156</v>
      </c>
      <c r="CK96" s="192">
        <v>39</v>
      </c>
      <c r="CL96" s="192">
        <v>185</v>
      </c>
      <c r="CM96" s="192">
        <v>255</v>
      </c>
      <c r="CN96" s="192">
        <v>218</v>
      </c>
      <c r="CO96" s="192">
        <v>190</v>
      </c>
      <c r="CP96" s="192">
        <v>150</v>
      </c>
      <c r="CQ96" s="193">
        <v>153</v>
      </c>
      <c r="CR96" s="193">
        <v>317</v>
      </c>
      <c r="CS96" s="193">
        <v>289</v>
      </c>
      <c r="CT96" s="193">
        <v>157</v>
      </c>
      <c r="CU96" s="193">
        <v>214</v>
      </c>
      <c r="CV96" s="193">
        <v>63</v>
      </c>
      <c r="CW96" s="193">
        <v>487</v>
      </c>
      <c r="CX96" s="193">
        <v>71</v>
      </c>
      <c r="CY96" s="193">
        <v>211</v>
      </c>
      <c r="CZ96" s="193">
        <v>144</v>
      </c>
      <c r="DA96" s="193">
        <v>336</v>
      </c>
      <c r="DB96" s="193">
        <v>466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67</v>
      </c>
      <c r="D97" s="164">
        <f>SUMIF(WMS용마재고!$A:$A,"S159-00.50-1.75", WMS용마재고!$L:$L)</f>
        <v>372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117</v>
      </c>
      <c r="G97" s="164">
        <f>SUMIF(WMS용마재고!$A:$A,"S159-01.25-1.75", WMS용마재고!$L:$L)</f>
        <v>109</v>
      </c>
      <c r="H97" s="164">
        <f>SUMIF(WMS용마재고!$A:$A,"S159-01.50-1.75", WMS용마재고!$L:$L)</f>
        <v>113</v>
      </c>
      <c r="I97" s="164">
        <f>SUMIF(WMS용마재고!$A:$A,"S159-01.75-1.75", WMS용마재고!$L:$L)</f>
        <v>102</v>
      </c>
      <c r="J97" s="164">
        <f>SUMIF(WMS용마재고!$A:$A,"S159-02.00-1.75", WMS용마재고!$L:$L)</f>
        <v>35</v>
      </c>
      <c r="K97" s="164">
        <f>SUMIF(WMS용마재고!$A:$A,"S159-02.25-1.75", WMS용마재고!$L:$L)</f>
        <v>32</v>
      </c>
      <c r="L97" s="164">
        <f>SUMIF(WMS용마재고!$A:$A,"S159-02.50-1.75", WMS용마재고!$L:$L)</f>
        <v>60</v>
      </c>
      <c r="M97" s="164">
        <f>SUMIF(WMS용마재고!$A:$A,"S159-02.75-1.75", WMS용마재고!$L:$L)</f>
        <v>88</v>
      </c>
      <c r="N97" s="164">
        <f>SUMIF(WMS용마재고!$A:$A,"S159-03.00-1.75", WMS용마재고!$L:$L)</f>
        <v>201</v>
      </c>
      <c r="O97" s="164">
        <f>SUMIF(WMS용마재고!$A:$A,"S159-03.25-1.75", WMS용마재고!$L:$L)</f>
        <v>53</v>
      </c>
      <c r="P97" s="164">
        <f>SUMIF(WMS용마재고!$A:$A,"S159-03.50-1.75", WMS용마재고!$L:$L)</f>
        <v>88</v>
      </c>
      <c r="Q97" s="164">
        <f>SUMIF(WMS용마재고!$A:$A,"S159-03.75-1.75", WMS용마재고!$L:$L)</f>
        <v>222</v>
      </c>
      <c r="R97" s="164">
        <f>SUMIF(WMS용마재고!$A:$A,"S159-04.00-1.75", WMS용마재고!$L:$L)</f>
        <v>91</v>
      </c>
      <c r="S97" s="164">
        <f>SUMIF(WMS용마재고!$A:$A,"S159-04.25-1.75", WMS용마재고!$L:$L)</f>
        <v>179</v>
      </c>
      <c r="T97" s="164">
        <f>SUMIF(WMS용마재고!$A:$A,"S159-04.50-1.75", WMS용마재고!$L:$L)</f>
        <v>140</v>
      </c>
      <c r="U97" s="164">
        <f>SUMIF(WMS용마재고!$A:$A,"S159-04.75-1.75", WMS용마재고!$L:$L)</f>
        <v>62</v>
      </c>
      <c r="V97" s="164">
        <f>SUMIF(WMS용마재고!$A:$A,"S159-05.00-1.75", WMS용마재고!$L:$L)</f>
        <v>149</v>
      </c>
      <c r="W97" s="164">
        <f>SUMIF(WMS용마재고!$A:$A,"S159-05.25-1.75", WMS용마재고!$L:$L)</f>
        <v>150</v>
      </c>
      <c r="X97" s="164">
        <f>SUMIF(WMS용마재고!$A:$A,"S159-05.50-1.75", WMS용마재고!$L:$L)</f>
        <v>82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209</v>
      </c>
      <c r="AA97" s="164">
        <f>SUMIF(WMS용마재고!$A:$A,"S159-06.50-1.75", WMS용마재고!$L:$L)</f>
        <v>157</v>
      </c>
      <c r="AB97" s="164">
        <f>SUMIF(WMS용마재고!$A:$A,"S159-07.00-1.75", WMS용마재고!$L:$L)</f>
        <v>102</v>
      </c>
      <c r="AC97" s="164">
        <f>SUMIF(WMS용마재고!$A:$A,"S159-07.50-1.75", WMS용마재고!$L:$L)</f>
        <v>79</v>
      </c>
      <c r="AD97" s="164">
        <f>SUMIF(WMS용마재고!$A:$A,"S159-08.00-1.75", WMS용마재고!$L:$L)</f>
        <v>86</v>
      </c>
      <c r="AE97" s="164">
        <f>SUMIF(WMS용마재고!$A:$A,"S159-08.50-1.75", WMS용마재고!$L:$L)</f>
        <v>137</v>
      </c>
      <c r="AF97" s="164">
        <f>SUMIF(WMS용마재고!$A:$A,"S159-09.00-1.75", WMS용마재고!$L:$L)</f>
        <v>129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67</v>
      </c>
      <c r="AP97" s="338">
        <f>SUMIF(WMS용마재고!$A:$A,"S159-00.50-1.75", WMS용마재고!$L:$L)</f>
        <v>372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117</v>
      </c>
      <c r="AS97" s="338">
        <f>SUMIF(WMS용마재고!$A:$A,"S159-01.25-1.75", WMS용마재고!$L:$L)</f>
        <v>109</v>
      </c>
      <c r="AT97" s="338">
        <f>SUMIF(WMS용마재고!$A:$A,"S159-01.50-1.75", WMS용마재고!$L:$L)</f>
        <v>113</v>
      </c>
      <c r="AU97" s="338">
        <f>SUMIF(WMS용마재고!$A:$A,"S159-01.75-1.75", WMS용마재고!$L:$L)</f>
        <v>102</v>
      </c>
      <c r="AV97" s="338">
        <f>SUMIF(WMS용마재고!$A:$A,"S159-02.00-1.75", WMS용마재고!$L:$L)</f>
        <v>35</v>
      </c>
      <c r="AW97" s="338">
        <f>SUMIF(WMS용마재고!$A:$A,"S159-02.25-1.75", WMS용마재고!$L:$L)</f>
        <v>32</v>
      </c>
      <c r="AX97" s="338">
        <f>SUMIF(WMS용마재고!$A:$A,"S159-02.50-1.75", WMS용마재고!$L:$L)</f>
        <v>60</v>
      </c>
      <c r="AY97" s="338">
        <f>SUMIF(WMS용마재고!$A:$A,"S159-02.75-1.75", WMS용마재고!$L:$L)</f>
        <v>88</v>
      </c>
      <c r="AZ97" s="338">
        <f>SUMIF(WMS용마재고!$A:$A,"S159-03.00-1.75", WMS용마재고!$L:$L)</f>
        <v>201</v>
      </c>
      <c r="BA97" s="338">
        <f>SUMIF(WMS용마재고!$A:$A,"S159-03.25-1.75", WMS용마재고!$L:$L)</f>
        <v>53</v>
      </c>
      <c r="BB97" s="338">
        <f>SUMIF(WMS용마재고!$A:$A,"S159-03.50-1.75", WMS용마재고!$L:$L)</f>
        <v>88</v>
      </c>
      <c r="BC97" s="338">
        <f>SUMIF(WMS용마재고!$A:$A,"S159-03.75-1.75", WMS용마재고!$L:$L)</f>
        <v>222</v>
      </c>
      <c r="BD97" s="338">
        <f>SUMIF(WMS용마재고!$A:$A,"S159-04.00-1.75", WMS용마재고!$L:$L)</f>
        <v>91</v>
      </c>
      <c r="BE97" s="338">
        <f>SUMIF(WMS용마재고!$A:$A,"S159-04.25-1.75", WMS용마재고!$L:$L)</f>
        <v>179</v>
      </c>
      <c r="BF97" s="338">
        <f>SUMIF(WMS용마재고!$A:$A,"S159-04.50-1.75", WMS용마재고!$L:$L)</f>
        <v>140</v>
      </c>
      <c r="BG97" s="338">
        <f>SUMIF(WMS용마재고!$A:$A,"S159-04.75-1.75", WMS용마재고!$L:$L)</f>
        <v>62</v>
      </c>
      <c r="BH97" s="338">
        <f>SUMIF(WMS용마재고!$A:$A,"S159-05.00-1.75", WMS용마재고!$L:$L)</f>
        <v>149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82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209</v>
      </c>
      <c r="BM97" s="338">
        <f>SUMIF(WMS용마재고!$A:$A,"S159-06.50-1.75", WMS용마재고!$L:$L)</f>
        <v>157</v>
      </c>
      <c r="BN97" s="338">
        <f>SUMIF(WMS용마재고!$A:$A,"S159-07.00-1.75", WMS용마재고!$L:$L)</f>
        <v>102</v>
      </c>
      <c r="BO97" s="338">
        <f>SUMIF(WMS용마재고!$A:$A,"S159-07.50-1.75", WMS용마재고!$L:$L)</f>
        <v>79</v>
      </c>
      <c r="BP97" s="338">
        <f>SUMIF(WMS용마재고!$A:$A,"S159-08.00-1.75", WMS용마재고!$L:$L)</f>
        <v>86</v>
      </c>
      <c r="BQ97" s="338">
        <f>SUMIF(WMS용마재고!$A:$A,"S159-08.50-1.75", WMS용마재고!$L:$L)</f>
        <v>137</v>
      </c>
      <c r="BR97" s="338">
        <f>SUMIF(WMS용마재고!$A:$A,"S159-09.00-1.75", WMS용마재고!$L:$L)</f>
        <v>129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67</v>
      </c>
      <c r="BZ97" s="192">
        <v>372</v>
      </c>
      <c r="CA97" s="192">
        <v>240</v>
      </c>
      <c r="CB97" s="192">
        <v>117</v>
      </c>
      <c r="CC97" s="192">
        <v>109</v>
      </c>
      <c r="CD97" s="192">
        <v>113</v>
      </c>
      <c r="CE97" s="192">
        <v>102</v>
      </c>
      <c r="CF97" s="192">
        <v>35</v>
      </c>
      <c r="CG97" s="192">
        <v>32</v>
      </c>
      <c r="CH97" s="192">
        <v>60</v>
      </c>
      <c r="CI97" s="192">
        <v>88</v>
      </c>
      <c r="CJ97" s="192">
        <v>201</v>
      </c>
      <c r="CK97" s="192">
        <v>53</v>
      </c>
      <c r="CL97" s="192">
        <v>88</v>
      </c>
      <c r="CM97" s="192">
        <v>222</v>
      </c>
      <c r="CN97" s="192">
        <v>91</v>
      </c>
      <c r="CO97" s="192">
        <v>179</v>
      </c>
      <c r="CP97" s="192">
        <v>140</v>
      </c>
      <c r="CQ97" s="193">
        <v>62</v>
      </c>
      <c r="CR97" s="193">
        <v>149</v>
      </c>
      <c r="CS97" s="193">
        <v>150</v>
      </c>
      <c r="CT97" s="193">
        <v>82</v>
      </c>
      <c r="CU97" s="193">
        <v>397</v>
      </c>
      <c r="CV97" s="193">
        <v>209</v>
      </c>
      <c r="CW97" s="193">
        <v>157</v>
      </c>
      <c r="CX97" s="193">
        <v>102</v>
      </c>
      <c r="CY97" s="193">
        <v>79</v>
      </c>
      <c r="CZ97" s="193">
        <v>86</v>
      </c>
      <c r="DA97" s="193">
        <v>137</v>
      </c>
      <c r="DB97" s="193">
        <v>129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3" t="s">
        <v>6299</v>
      </c>
      <c r="B98" s="563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146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11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146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11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146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11</v>
      </c>
      <c r="CU100" s="193">
        <v>243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90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116</v>
      </c>
      <c r="P101" s="164">
        <f>SUMIF(WMS용마재고!$A:$A,"S189-03.50", WMS용마재고!$L:$L)</f>
        <v>235</v>
      </c>
      <c r="Q101" s="164">
        <f>SUMIF(WMS용마재고!$A:$A,"S189-03.75", WMS용마재고!$L:$L)</f>
        <v>82</v>
      </c>
      <c r="R101" s="164">
        <f>SUMIF(WMS용마재고!$A:$A,"S189-04.00", WMS용마재고!$L:$L)</f>
        <v>3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108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90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116</v>
      </c>
      <c r="BB101" s="338">
        <f>SUMIF(WMS용마재고!$A:$A,"S189-03.50", WMS용마재고!$L:$L)</f>
        <v>235</v>
      </c>
      <c r="BC101" s="338">
        <f>SUMIF(WMS용마재고!$A:$A,"S189-03.75", WMS용마재고!$L:$L)</f>
        <v>82</v>
      </c>
      <c r="BD101" s="338">
        <f>SUMIF(WMS용마재고!$A:$A,"S189-04.00", WMS용마재고!$L:$L)</f>
        <v>3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108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90</v>
      </c>
      <c r="CI101" s="192">
        <v>152</v>
      </c>
      <c r="CJ101" s="192">
        <v>114</v>
      </c>
      <c r="CK101" s="192">
        <v>116</v>
      </c>
      <c r="CL101" s="192">
        <v>235</v>
      </c>
      <c r="CM101" s="192">
        <v>82</v>
      </c>
      <c r="CN101" s="192">
        <v>3</v>
      </c>
      <c r="CO101" s="192">
        <v>18</v>
      </c>
      <c r="CP101" s="192">
        <v>0</v>
      </c>
      <c r="CQ101" s="193">
        <v>108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4963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326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131</v>
      </c>
      <c r="J103" s="164">
        <f>SUMIF(WMS용마재고!$A:$A,"s134-02.00", WMS용마재고!$L:$L)</f>
        <v>174</v>
      </c>
      <c r="K103" s="164">
        <f>SUMIF(WMS용마재고!$A:$A,"s134-02.25", WMS용마재고!$L:$L)</f>
        <v>273</v>
      </c>
      <c r="L103" s="164">
        <f>SUMIF(WMS용마재고!$A:$A,"s134-02.50", WMS용마재고!$L:$L)</f>
        <v>288</v>
      </c>
      <c r="M103" s="164">
        <f>SUMIF(WMS용마재고!$A:$A,"s134-02.75", WMS용마재고!$L:$L)</f>
        <v>187</v>
      </c>
      <c r="N103" s="164">
        <f>SUMIF(WMS용마재고!$A:$A,"s134-03.00", WMS용마재고!$L:$L)</f>
        <v>166</v>
      </c>
      <c r="O103" s="164">
        <f>SUMIF(WMS용마재고!$A:$A,"s134-03.25", WMS용마재고!$L:$L)</f>
        <v>241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150</v>
      </c>
      <c r="V103" s="164">
        <f>SUMIF(WMS용마재고!$A:$A,"s134-05.00", WMS용마재고!$L:$L)</f>
        <v>232</v>
      </c>
      <c r="W103" s="164">
        <f>SUMIF(WMS용마재고!$A:$A,"s134-05.25", WMS용마재고!$L:$L)</f>
        <v>101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235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326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131</v>
      </c>
      <c r="AV103" s="336">
        <f>SUMIF(WMS용마재고!$A:$A,"s134-02.00", WMS용마재고!$L:$L)</f>
        <v>174</v>
      </c>
      <c r="AW103" s="336">
        <f>SUMIF(WMS용마재고!$A:$A,"s134-02.25", WMS용마재고!$L:$L)</f>
        <v>273</v>
      </c>
      <c r="AX103" s="336">
        <f>SUMIF(WMS용마재고!$A:$A,"s134-02.50", WMS용마재고!$L:$L)</f>
        <v>288</v>
      </c>
      <c r="AY103" s="336">
        <f>SUMIF(WMS용마재고!$A:$A,"s134-02.75", WMS용마재고!$L:$L)</f>
        <v>187</v>
      </c>
      <c r="AZ103" s="336">
        <f>SUMIF(WMS용마재고!$A:$A,"s134-03.00", WMS용마재고!$L:$L)</f>
        <v>166</v>
      </c>
      <c r="BA103" s="336">
        <f>SUMIF(WMS용마재고!$A:$A,"s134-03.25", WMS용마재고!$L:$L)</f>
        <v>241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150</v>
      </c>
      <c r="BH103" s="336">
        <f>SUMIF(WMS용마재고!$A:$A,"s134-05.00", WMS용마재고!$L:$L)</f>
        <v>232</v>
      </c>
      <c r="BI103" s="336">
        <f>SUMIF(WMS용마재고!$A:$A,"s134-05.25", WMS용마재고!$L:$L)</f>
        <v>101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235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326</v>
      </c>
      <c r="CB103" s="192">
        <v>267</v>
      </c>
      <c r="CC103" s="192">
        <v>184</v>
      </c>
      <c r="CD103" s="192">
        <v>203</v>
      </c>
      <c r="CE103" s="192">
        <v>131</v>
      </c>
      <c r="CF103" s="192">
        <v>174</v>
      </c>
      <c r="CG103" s="192">
        <v>273</v>
      </c>
      <c r="CH103" s="192">
        <v>288</v>
      </c>
      <c r="CI103" s="192">
        <v>187</v>
      </c>
      <c r="CJ103" s="192">
        <v>166</v>
      </c>
      <c r="CK103" s="192">
        <v>241</v>
      </c>
      <c r="CL103" s="192">
        <v>307</v>
      </c>
      <c r="CM103" s="192">
        <v>279</v>
      </c>
      <c r="CN103" s="192">
        <v>196</v>
      </c>
      <c r="CO103" s="192">
        <v>347</v>
      </c>
      <c r="CP103" s="192">
        <v>86</v>
      </c>
      <c r="CQ103" s="193">
        <v>150</v>
      </c>
      <c r="CR103" s="193">
        <v>232</v>
      </c>
      <c r="CS103" s="193">
        <v>101</v>
      </c>
      <c r="CT103" s="193">
        <v>229</v>
      </c>
      <c r="CU103" s="193">
        <v>213</v>
      </c>
      <c r="CV103" s="193">
        <v>128</v>
      </c>
      <c r="CW103" s="193">
        <v>129</v>
      </c>
      <c r="CX103" s="193">
        <v>221</v>
      </c>
      <c r="CY103" s="193">
        <v>235</v>
      </c>
      <c r="CZ103" s="193">
        <v>93</v>
      </c>
      <c r="DA103" s="193">
        <v>304</v>
      </c>
      <c r="DB103" s="193">
        <v>235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261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221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261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221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261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221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484</v>
      </c>
      <c r="E105" s="164">
        <f>SUMIF(WMS용마재고!$A:$A,"s125-00.75", WMS용마재고!$L:$L)</f>
        <v>448</v>
      </c>
      <c r="F105" s="164">
        <f>SUMIF(WMS용마재고!$A:$A,"s125-01.00", WMS용마재고!$L:$L)</f>
        <v>353</v>
      </c>
      <c r="G105" s="164">
        <f>SUMIF(WMS용마재고!$A:$A,"s125-01.25", WMS용마재고!$L:$L)</f>
        <v>340</v>
      </c>
      <c r="H105" s="164">
        <f>SUMIF(WMS용마재고!$A:$A,"s125-01.50", WMS용마재고!$L:$L)</f>
        <v>323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385</v>
      </c>
      <c r="Q105" s="164">
        <f>SUMIF(WMS용마재고!$A:$A,"s125-03.75", WMS용마재고!$L:$L)</f>
        <v>436</v>
      </c>
      <c r="R105" s="164">
        <f>SUMIF(WMS용마재고!$A:$A,"s125-04.00", WMS용마재고!$L:$L)</f>
        <v>276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446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260</v>
      </c>
      <c r="AH105" s="167">
        <f>SUMIF(WMS용마재고!$A:$A,"s125-10.00", WMS용마재고!$L:$L)</f>
        <v>209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484</v>
      </c>
      <c r="AQ105" s="191">
        <f>SUMIF(WMS용마재고!$A:$A,"s125-00.75", WMS용마재고!$L:$L)</f>
        <v>448</v>
      </c>
      <c r="AR105" s="191">
        <f>SUMIF(WMS용마재고!$A:$A,"s125-01.00", WMS용마재고!$L:$L)</f>
        <v>353</v>
      </c>
      <c r="AS105" s="191">
        <f>SUMIF(WMS용마재고!$A:$A,"s125-01.25", WMS용마재고!$L:$L)</f>
        <v>340</v>
      </c>
      <c r="AT105" s="191">
        <f>SUMIF(WMS용마재고!$A:$A,"s125-01.50", WMS용마재고!$L:$L)</f>
        <v>323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385</v>
      </c>
      <c r="BC105" s="191">
        <f>SUMIF(WMS용마재고!$A:$A,"s125-03.75", WMS용마재고!$L:$L)</f>
        <v>436</v>
      </c>
      <c r="BD105" s="191">
        <f>SUMIF(WMS용마재고!$A:$A,"s125-04.00", WMS용마재고!$L:$L)</f>
        <v>276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446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260</v>
      </c>
      <c r="BT105" s="191">
        <f>SUMIF(WMS용마재고!$A:$A,"s125-10.00", WMS용마재고!$L:$L)</f>
        <v>209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484</v>
      </c>
      <c r="CA105" s="192">
        <v>448</v>
      </c>
      <c r="CB105" s="192">
        <v>353</v>
      </c>
      <c r="CC105" s="192">
        <v>340</v>
      </c>
      <c r="CD105" s="192">
        <v>323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385</v>
      </c>
      <c r="CM105" s="192">
        <v>436</v>
      </c>
      <c r="CN105" s="192">
        <v>276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446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260</v>
      </c>
      <c r="DD105" s="193">
        <v>209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308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308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308</v>
      </c>
      <c r="CA106" s="192">
        <v>475</v>
      </c>
      <c r="CB106" s="192">
        <v>580</v>
      </c>
      <c r="CC106" s="192">
        <v>419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416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4780</v>
      </c>
      <c r="C107" s="164">
        <f>SUMIF(WMS용마재고!$A:$A,"S124-00.00", WMS용마재고!$L:$L)</f>
        <v>370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82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370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82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370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82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4759</v>
      </c>
      <c r="C108" s="164">
        <f>SUMIF(WMS용마재고!$A:$A,"S104-00.00", WMS용마재고!$L:$L)</f>
        <v>194</v>
      </c>
      <c r="D108" s="162"/>
      <c r="E108" s="164">
        <f>SUMIF(WMS용마재고!$A:$A,"S104-00.75", WMS용마재고!$L:$L)</f>
        <v>290</v>
      </c>
      <c r="F108" s="164">
        <f>SUMIF(WMS용마재고!$A:$A,"S104-01.00", WMS용마재고!$L:$L)</f>
        <v>134</v>
      </c>
      <c r="G108" s="164">
        <f>SUMIF(WMS용마재고!$A:$A,"S104-01.25", WMS용마재고!$L:$L)</f>
        <v>175</v>
      </c>
      <c r="H108" s="164">
        <f>SUMIF(WMS용마재고!$A:$A,"S104-01.50", WMS용마재고!$L:$L)</f>
        <v>204</v>
      </c>
      <c r="I108" s="164">
        <f>SUMIF(WMS용마재고!$A:$A,"S104-01.75", WMS용마재고!$L:$L)</f>
        <v>167</v>
      </c>
      <c r="J108" s="164">
        <f>SUMIF(WMS용마재고!$A:$A,"S104-02.00", WMS용마재고!$L:$L)</f>
        <v>199</v>
      </c>
      <c r="K108" s="164">
        <f>SUMIF(WMS용마재고!$A:$A,"S104-02.25", WMS용마재고!$L:$L)</f>
        <v>332</v>
      </c>
      <c r="L108" s="164">
        <f>SUMIF(WMS용마재고!$A:$A,"S104-02.50", WMS용마재고!$L:$L)</f>
        <v>183</v>
      </c>
      <c r="M108" s="164">
        <f>SUMIF(WMS용마재고!$A:$A,"S104-02.75", WMS용마재고!$L:$L)</f>
        <v>172</v>
      </c>
      <c r="N108" s="164">
        <f>SUMIF(WMS용마재고!$A:$A,"S104-03.00", WMS용마재고!$L:$L)</f>
        <v>176</v>
      </c>
      <c r="O108" s="164">
        <f>SUMIF(WMS용마재고!$A:$A,"S104-03.25", WMS용마재고!$L:$L)</f>
        <v>203</v>
      </c>
      <c r="P108" s="164">
        <f>SUMIF(WMS용마재고!$A:$A,"S104-03.50", WMS용마재고!$L:$L)</f>
        <v>108</v>
      </c>
      <c r="Q108" s="164">
        <f>SUMIF(WMS용마재고!$A:$A,"S104-03.75", WMS용마재고!$L:$L)</f>
        <v>148</v>
      </c>
      <c r="R108" s="164">
        <f>SUMIF(WMS용마재고!$A:$A,"S104-04.00", WMS용마재고!$L:$L)</f>
        <v>164</v>
      </c>
      <c r="S108" s="164">
        <f>SUMIF(WMS용마재고!$A:$A,"S104-04.25", WMS용마재고!$L:$L)</f>
        <v>143</v>
      </c>
      <c r="T108" s="164">
        <f>SUMIF(WMS용마재고!$A:$A,"S104-04.50", WMS용마재고!$L:$L)</f>
        <v>202</v>
      </c>
      <c r="U108" s="164">
        <f>SUMIF(WMS용마재고!$A:$A,"S104-04.75", WMS용마재고!$L:$L)</f>
        <v>188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181</v>
      </c>
      <c r="Y108" s="162"/>
      <c r="Z108" s="164">
        <f>SUMIF(WMS용마재고!$A:$A,"S104-06.00", WMS용마재고!$L:$L)</f>
        <v>206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4758</v>
      </c>
      <c r="AO108" s="428">
        <f>SUMIF(WMS용마재고!$A:$A,"S104-00.00", WMS용마재고!$L:$L)</f>
        <v>194</v>
      </c>
      <c r="AP108" s="428"/>
      <c r="AQ108" s="428">
        <f>SUMIF(WMS용마재고!$A:$A,"S104-00.75", WMS용마재고!$L:$L)</f>
        <v>290</v>
      </c>
      <c r="AR108" s="428">
        <f>SUMIF(WMS용마재고!$A:$A,"S104-01.00", WMS용마재고!$L:$L)</f>
        <v>134</v>
      </c>
      <c r="AS108" s="428">
        <f>SUMIF(WMS용마재고!$A:$A,"S104-01.25", WMS용마재고!$L:$L)</f>
        <v>175</v>
      </c>
      <c r="AT108" s="428">
        <f>SUMIF(WMS용마재고!$A:$A,"S104-01.50", WMS용마재고!$L:$L)</f>
        <v>204</v>
      </c>
      <c r="AU108" s="428">
        <f>SUMIF(WMS용마재고!$A:$A,"S104-01.75", WMS용마재고!$L:$L)</f>
        <v>167</v>
      </c>
      <c r="AV108" s="428">
        <f>SUMIF(WMS용마재고!$A:$A,"S104-02.00", WMS용마재고!$L:$L)</f>
        <v>199</v>
      </c>
      <c r="AW108" s="428">
        <f>SUMIF(WMS용마재고!$A:$A,"S104-02.25", WMS용마재고!$L:$L)</f>
        <v>332</v>
      </c>
      <c r="AX108" s="428">
        <f>SUMIF(WMS용마재고!$A:$A,"S104-02.50", WMS용마재고!$L:$L)</f>
        <v>183</v>
      </c>
      <c r="AY108" s="428">
        <f>SUMIF(WMS용마재고!$A:$A,"S104-02.75", WMS용마재고!$L:$L)</f>
        <v>172</v>
      </c>
      <c r="AZ108" s="428">
        <f>SUMIF(WMS용마재고!$A:$A,"S104-03.00", WMS용마재고!$L:$L)</f>
        <v>176</v>
      </c>
      <c r="BA108" s="428">
        <f>SUMIF(WMS용마재고!$A:$A,"S104-03.25", WMS용마재고!$L:$L)</f>
        <v>203</v>
      </c>
      <c r="BB108" s="428">
        <f>SUMIF(WMS용마재고!$A:$A,"S104-03.50", WMS용마재고!$L:$L)</f>
        <v>108</v>
      </c>
      <c r="BC108" s="428">
        <f>SUMIF(WMS용마재고!$A:$A,"S104-03.75", WMS용마재고!$L:$L)</f>
        <v>148</v>
      </c>
      <c r="BD108" s="428">
        <f>SUMIF(WMS용마재고!$A:$A,"S104-04.00", WMS용마재고!$L:$L)</f>
        <v>164</v>
      </c>
      <c r="BE108" s="428">
        <f>SUMIF(WMS용마재고!$A:$A,"S104-04.25", WMS용마재고!$L:$L)</f>
        <v>143</v>
      </c>
      <c r="BF108" s="428">
        <f>SUMIF(WMS용마재고!$A:$A,"S104-04.50", WMS용마재고!$L:$L)</f>
        <v>202</v>
      </c>
      <c r="BG108" s="428">
        <f>SUMIF(WMS용마재고!$A:$A,"S104-04.75", WMS용마재고!$L:$L)</f>
        <v>188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181</v>
      </c>
      <c r="BK108" s="423"/>
      <c r="BL108" s="428">
        <f>SUMIF(WMS용마재고!$A:$A,"S104-06.00", WMS용마재고!$L:$L)</f>
        <v>206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194</v>
      </c>
      <c r="BZ108" s="192"/>
      <c r="CA108" s="192">
        <v>290</v>
      </c>
      <c r="CB108" s="192">
        <v>134</v>
      </c>
      <c r="CC108" s="192">
        <v>175</v>
      </c>
      <c r="CD108" s="192">
        <v>204</v>
      </c>
      <c r="CE108" s="192">
        <v>167</v>
      </c>
      <c r="CF108" s="192">
        <v>199</v>
      </c>
      <c r="CG108" s="192">
        <v>332</v>
      </c>
      <c r="CH108" s="192">
        <v>183</v>
      </c>
      <c r="CI108" s="192">
        <v>172</v>
      </c>
      <c r="CJ108" s="192">
        <v>176</v>
      </c>
      <c r="CK108" s="192">
        <v>203</v>
      </c>
      <c r="CL108" s="192">
        <v>108</v>
      </c>
      <c r="CM108" s="192">
        <v>148</v>
      </c>
      <c r="CN108" s="192">
        <v>164</v>
      </c>
      <c r="CO108" s="192">
        <v>143</v>
      </c>
      <c r="CP108" s="192">
        <v>202</v>
      </c>
      <c r="CQ108" s="193">
        <v>188</v>
      </c>
      <c r="CR108" s="193">
        <v>220</v>
      </c>
      <c r="CS108" s="193"/>
      <c r="CT108" s="193">
        <v>181</v>
      </c>
      <c r="CU108" s="193"/>
      <c r="CV108" s="193">
        <v>206</v>
      </c>
      <c r="CW108" s="193">
        <v>187</v>
      </c>
      <c r="CX108" s="193">
        <v>213</v>
      </c>
      <c r="CY108" s="193">
        <v>180</v>
      </c>
      <c r="CZ108" s="193">
        <v>199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4761</v>
      </c>
      <c r="C109" s="164">
        <f>SUMIF(WMS용마재고!$A:$A,"S109-00.00", WMS용마재고!$L:$L)</f>
        <v>126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342</v>
      </c>
      <c r="M109" s="164">
        <f>SUMIF(WMS용마재고!$A:$A,"S109-02.75", WMS용마재고!$L:$L)</f>
        <v>278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4760</v>
      </c>
      <c r="AO109" s="428">
        <f>SUMIF(WMS용마재고!$A:$A,"S109-00.00", WMS용마재고!$L:$L)</f>
        <v>126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342</v>
      </c>
      <c r="AY109" s="428">
        <f>SUMIF(WMS용마재고!$A:$A,"S109-02.75", WMS용마재고!$L:$L)</f>
        <v>278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126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342</v>
      </c>
      <c r="CI109" s="192">
        <v>278</v>
      </c>
      <c r="CJ109" s="192">
        <v>129</v>
      </c>
      <c r="CK109" s="192">
        <v>158</v>
      </c>
      <c r="CL109" s="192">
        <v>102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4763</v>
      </c>
      <c r="C110" s="164">
        <f>SUMIF(WMS용마재고!$A:$A,"S110-00.00", WMS용마재고!$L:$L)</f>
        <v>400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113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153</v>
      </c>
      <c r="R110" s="164">
        <f>SUMIF(WMS용마재고!$A:$A,"S110-04.00", WMS용마재고!$L:$L)</f>
        <v>149</v>
      </c>
      <c r="S110" s="164">
        <f>SUMIF(WMS용마재고!$A:$A,"S110-04.25", WMS용마재고!$L:$L)</f>
        <v>991</v>
      </c>
      <c r="T110" s="164">
        <f>SUMIF(WMS용마재고!$A:$A,"S110-04.50", WMS용마재고!$L:$L)</f>
        <v>128</v>
      </c>
      <c r="U110" s="164">
        <f>SUMIF(WMS용마재고!$A:$A,"S110-04.75", WMS용마재고!$L:$L)</f>
        <v>155</v>
      </c>
      <c r="V110" s="167">
        <f>SUMIF(WMS용마재고!$A:$A,"S110-05.00", WMS용마재고!$L:$L)</f>
        <v>128</v>
      </c>
      <c r="W110" s="162"/>
      <c r="X110" s="167">
        <f>SUMIF(WMS용마재고!$A:$A,"S110-05.50", WMS용마재고!$L:$L)</f>
        <v>447</v>
      </c>
      <c r="Y110" s="162"/>
      <c r="Z110" s="164">
        <f>SUMIF(WMS용마재고!$A:$A,"S110-06.00", WMS용마재고!$L:$L)</f>
        <v>140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4762</v>
      </c>
      <c r="AO110" s="428">
        <f>SUMIF(WMS용마재고!$A:$A,"S110-00.00", WMS용마재고!$L:$L)</f>
        <v>400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113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153</v>
      </c>
      <c r="BD110" s="428">
        <f>SUMIF(WMS용마재고!$A:$A,"S110-04.00", WMS용마재고!$L:$L)</f>
        <v>149</v>
      </c>
      <c r="BE110" s="428">
        <f>SUMIF(WMS용마재고!$A:$A,"S110-04.25", WMS용마재고!$L:$L)</f>
        <v>991</v>
      </c>
      <c r="BF110" s="428">
        <f>SUMIF(WMS용마재고!$A:$A,"S110-04.50", WMS용마재고!$L:$L)</f>
        <v>128</v>
      </c>
      <c r="BG110" s="428">
        <f>SUMIF(WMS용마재고!$A:$A,"S110-04.75", WMS용마재고!$L:$L)</f>
        <v>155</v>
      </c>
      <c r="BH110" s="448">
        <f>SUMIF(WMS용마재고!$A:$A,"S110-05.00", WMS용마재고!$L:$L)</f>
        <v>128</v>
      </c>
      <c r="BI110" s="423"/>
      <c r="BJ110" s="448">
        <f>SUMIF(WMS용마재고!$A:$A,"S110-05.50", WMS용마재고!$L:$L)</f>
        <v>447</v>
      </c>
      <c r="BK110" s="423"/>
      <c r="BL110" s="428">
        <f>SUMIF(WMS용마재고!$A:$A,"S110-06.00", WMS용마재고!$L:$L)</f>
        <v>140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400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111</v>
      </c>
      <c r="CG110" s="192">
        <v>100</v>
      </c>
      <c r="CH110" s="192">
        <v>113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153</v>
      </c>
      <c r="CN110" s="192">
        <v>149</v>
      </c>
      <c r="CO110" s="192">
        <v>991</v>
      </c>
      <c r="CP110" s="192">
        <v>128</v>
      </c>
      <c r="CQ110" s="193">
        <v>155</v>
      </c>
      <c r="CR110" s="193">
        <v>128</v>
      </c>
      <c r="CS110" s="193"/>
      <c r="CT110" s="193">
        <v>447</v>
      </c>
      <c r="CU110" s="193"/>
      <c r="CV110" s="193">
        <v>140</v>
      </c>
      <c r="CW110" s="193">
        <v>117</v>
      </c>
      <c r="CX110" s="193">
        <v>104</v>
      </c>
      <c r="CY110" s="193">
        <v>444</v>
      </c>
      <c r="CZ110" s="193">
        <v>152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4765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185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1104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172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4764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185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1104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172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185</v>
      </c>
      <c r="CD111" s="192">
        <v>255</v>
      </c>
      <c r="CE111" s="192">
        <v>281</v>
      </c>
      <c r="CF111" s="192">
        <v>216</v>
      </c>
      <c r="CG111" s="192">
        <v>1104</v>
      </c>
      <c r="CH111" s="192">
        <v>235</v>
      </c>
      <c r="CI111" s="192">
        <v>212</v>
      </c>
      <c r="CJ111" s="192">
        <v>186</v>
      </c>
      <c r="CK111" s="192">
        <v>172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169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2" t="s">
        <v>3413</v>
      </c>
      <c r="B112" s="542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5048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4653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435</v>
      </c>
      <c r="I114" s="164">
        <f>SUMIF(WMS용마재고!$A:$A,"S258-01.75", WMS용마재고!$L:$L)</f>
        <v>447</v>
      </c>
      <c r="J114" s="164">
        <f>SUMIF(WMS용마재고!$A:$A,"S258-02.00", WMS용마재고!$L:$L)</f>
        <v>434</v>
      </c>
      <c r="K114" s="164">
        <f>SUMIF(WMS용마재고!$A:$A,"S258-02.25", WMS용마재고!$L:$L)</f>
        <v>457</v>
      </c>
      <c r="L114" s="164">
        <f>SUMIF(WMS용마재고!$A:$A,"S258-02.50", WMS용마재고!$L:$L)</f>
        <v>455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444</v>
      </c>
      <c r="S114" s="164">
        <f>SUMIF(WMS용마재고!$A:$A,"S258-04.25", WMS용마재고!$L:$L)</f>
        <v>460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441</v>
      </c>
      <c r="Y114" s="162"/>
      <c r="Z114" s="164">
        <f>SUMIF(WMS용마재고!$A:$A,"S258-06.00", WMS용마재고!$L:$L)</f>
        <v>450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4652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435</v>
      </c>
      <c r="AU114" s="336">
        <f>SUMIF(WMS용마재고!$A:$A,"S258-01.75", WMS용마재고!$L:$L)</f>
        <v>447</v>
      </c>
      <c r="AV114" s="336">
        <f>SUMIF(WMS용마재고!$A:$A,"S258-02.00", WMS용마재고!$L:$L)</f>
        <v>434</v>
      </c>
      <c r="AW114" s="336">
        <f>SUMIF(WMS용마재고!$A:$A,"S258-02.25", WMS용마재고!$L:$L)</f>
        <v>457</v>
      </c>
      <c r="AX114" s="336">
        <f>SUMIF(WMS용마재고!$A:$A,"S258-02.50", WMS용마재고!$L:$L)</f>
        <v>455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444</v>
      </c>
      <c r="BE114" s="336">
        <f>SUMIF(WMS용마재고!$A:$A,"S258-04.25", WMS용마재고!$L:$L)</f>
        <v>460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441</v>
      </c>
      <c r="BK114" s="336"/>
      <c r="BL114" s="336">
        <f>SUMIF(WMS용마재고!$A:$A,"S258-06.00", WMS용마재고!$L:$L)</f>
        <v>450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435</v>
      </c>
      <c r="CE114" s="192">
        <v>447</v>
      </c>
      <c r="CF114" s="192">
        <v>434</v>
      </c>
      <c r="CG114" s="192">
        <v>457</v>
      </c>
      <c r="CH114" s="192">
        <v>455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444</v>
      </c>
      <c r="CO114" s="192">
        <v>460</v>
      </c>
      <c r="CP114" s="192">
        <v>446</v>
      </c>
      <c r="CQ114" s="193">
        <v>461</v>
      </c>
      <c r="CR114" s="193">
        <v>455</v>
      </c>
      <c r="CS114" s="193"/>
      <c r="CT114" s="193">
        <v>441</v>
      </c>
      <c r="CU114" s="193"/>
      <c r="CV114" s="193">
        <v>450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4655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419</v>
      </c>
      <c r="J115" s="164">
        <f>SUMIF(WMS용마재고!$A:$A,"S259-02.00", WMS용마재고!$L:$L)</f>
        <v>428</v>
      </c>
      <c r="K115" s="164">
        <f>SUMIF(WMS용마재고!$A:$A,"S259-02.25", WMS용마재고!$L:$L)</f>
        <v>413</v>
      </c>
      <c r="L115" s="164">
        <f>SUMIF(WMS용마재고!$A:$A,"S259-02.50", WMS용마재고!$L:$L)</f>
        <v>422</v>
      </c>
      <c r="M115" s="164">
        <f>SUMIF(WMS용마재고!$A:$A,"S259-02.75", WMS용마재고!$L:$L)</f>
        <v>416</v>
      </c>
      <c r="N115" s="164">
        <f>SUMIF(WMS용마재고!$A:$A,"S259-03.00", WMS용마재고!$L:$L)</f>
        <v>420</v>
      </c>
      <c r="O115" s="164">
        <f>SUMIF(WMS용마재고!$A:$A,"S259-03.25", WMS용마재고!$L:$L)</f>
        <v>436</v>
      </c>
      <c r="P115" s="164">
        <f>SUMIF(WMS용마재고!$A:$A,"S259-03.50", WMS용마재고!$L:$L)</f>
        <v>431</v>
      </c>
      <c r="Q115" s="164">
        <f>SUMIF(WMS용마재고!$A:$A,"S259-03.75", WMS용마재고!$L:$L)</f>
        <v>421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438</v>
      </c>
      <c r="U115" s="164">
        <f>SUMIF(WMS용마재고!$A:$A,"S259-04.75", WMS용마재고!$L:$L)</f>
        <v>458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430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4654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419</v>
      </c>
      <c r="AV115" s="191">
        <f>SUMIF(WMS용마재고!$A:$A,"S259-02.00", WMS용마재고!$L:$L)</f>
        <v>428</v>
      </c>
      <c r="AW115" s="191">
        <f>SUMIF(WMS용마재고!$A:$A,"S259-02.25", WMS용마재고!$L:$L)</f>
        <v>413</v>
      </c>
      <c r="AX115" s="191">
        <f>SUMIF(WMS용마재고!$A:$A,"S259-02.50", WMS용마재고!$L:$L)</f>
        <v>422</v>
      </c>
      <c r="AY115" s="191">
        <f>SUMIF(WMS용마재고!$A:$A,"S259-02.75", WMS용마재고!$L:$L)</f>
        <v>416</v>
      </c>
      <c r="AZ115" s="191">
        <f>SUMIF(WMS용마재고!$A:$A,"S259-03.00", WMS용마재고!$L:$L)</f>
        <v>420</v>
      </c>
      <c r="BA115" s="191">
        <f>SUMIF(WMS용마재고!$A:$A,"S259-03.25", WMS용마재고!$L:$L)</f>
        <v>436</v>
      </c>
      <c r="BB115" s="191">
        <f>SUMIF(WMS용마재고!$A:$A,"S259-03.50", WMS용마재고!$L:$L)</f>
        <v>431</v>
      </c>
      <c r="BC115" s="191">
        <f>SUMIF(WMS용마재고!$A:$A,"S259-03.75", WMS용마재고!$L:$L)</f>
        <v>421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438</v>
      </c>
      <c r="BG115" s="191">
        <f>SUMIF(WMS용마재고!$A:$A,"S259-04.75", WMS용마재고!$L:$L)</f>
        <v>458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430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443</v>
      </c>
      <c r="CD115" s="192">
        <v>412</v>
      </c>
      <c r="CE115" s="192">
        <v>419</v>
      </c>
      <c r="CF115" s="192">
        <v>428</v>
      </c>
      <c r="CG115" s="192">
        <v>413</v>
      </c>
      <c r="CH115" s="192">
        <v>422</v>
      </c>
      <c r="CI115" s="192">
        <v>416</v>
      </c>
      <c r="CJ115" s="192">
        <v>420</v>
      </c>
      <c r="CK115" s="192">
        <v>436</v>
      </c>
      <c r="CL115" s="192">
        <v>431</v>
      </c>
      <c r="CM115" s="192">
        <v>421</v>
      </c>
      <c r="CN115" s="192">
        <v>411</v>
      </c>
      <c r="CO115" s="192">
        <v>443</v>
      </c>
      <c r="CP115" s="192">
        <v>438</v>
      </c>
      <c r="CQ115" s="193">
        <v>458</v>
      </c>
      <c r="CR115" s="193">
        <v>426</v>
      </c>
      <c r="CS115" s="193"/>
      <c r="CT115" s="193">
        <v>444</v>
      </c>
      <c r="CU115" s="193"/>
      <c r="CV115" s="193">
        <v>430</v>
      </c>
      <c r="CW115" s="193">
        <v>455</v>
      </c>
      <c r="CX115" s="193">
        <v>464</v>
      </c>
      <c r="CY115" s="193">
        <v>473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4649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170</v>
      </c>
      <c r="I116" s="164">
        <f>SUMIF(WMS용마재고!$A:$A,"S256-01.75", WMS용마재고!$L:$L)</f>
        <v>216</v>
      </c>
      <c r="J116" s="164">
        <f>SUMIF(WMS용마재고!$A:$A,"S256-02.00", WMS용마재고!$L:$L)</f>
        <v>180</v>
      </c>
      <c r="K116" s="164">
        <f>SUMIF(WMS용마재고!$A:$A,"S256-02.25", WMS용마재고!$L:$L)</f>
        <v>172</v>
      </c>
      <c r="L116" s="164">
        <f>SUMIF(WMS용마재고!$A:$A,"S256-02.50", WMS용마재고!$L:$L)</f>
        <v>192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214</v>
      </c>
      <c r="S116" s="164">
        <f>SUMIF(WMS용마재고!$A:$A,"S256-04.25", WMS용마재고!$L:$L)</f>
        <v>194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206</v>
      </c>
      <c r="Y116" s="162"/>
      <c r="Z116" s="164">
        <f>SUMIF(WMS용마재고!$A:$A,"S256-06.00", WMS용마재고!$L:$L)</f>
        <v>225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4648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170</v>
      </c>
      <c r="AU116" s="191">
        <f>SUMIF(WMS용마재고!$A:$A,"S256-01.75", WMS용마재고!$L:$L)</f>
        <v>216</v>
      </c>
      <c r="AV116" s="191">
        <f>SUMIF(WMS용마재고!$A:$A,"S256-02.00", WMS용마재고!$L:$L)</f>
        <v>180</v>
      </c>
      <c r="AW116" s="191">
        <f>SUMIF(WMS용마재고!$A:$A,"S256-02.25", WMS용마재고!$L:$L)</f>
        <v>172</v>
      </c>
      <c r="AX116" s="191">
        <f>SUMIF(WMS용마재고!$A:$A,"S256-02.50", WMS용마재고!$L:$L)</f>
        <v>192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214</v>
      </c>
      <c r="BE116" s="191">
        <f>SUMIF(WMS용마재고!$A:$A,"S256-04.25", WMS용마재고!$L:$L)</f>
        <v>194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206</v>
      </c>
      <c r="BK116" s="191"/>
      <c r="BL116" s="191">
        <f>SUMIF(WMS용마재고!$A:$A,"S256-06.00", WMS용마재고!$L:$L)</f>
        <v>225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170</v>
      </c>
      <c r="CE116" s="192">
        <v>216</v>
      </c>
      <c r="CF116" s="192">
        <v>180</v>
      </c>
      <c r="CG116" s="192">
        <v>172</v>
      </c>
      <c r="CH116" s="192">
        <v>192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214</v>
      </c>
      <c r="CO116" s="192">
        <v>194</v>
      </c>
      <c r="CP116" s="192">
        <v>198</v>
      </c>
      <c r="CQ116" s="193">
        <v>236</v>
      </c>
      <c r="CR116" s="193">
        <v>174</v>
      </c>
      <c r="CS116" s="193"/>
      <c r="CT116" s="193">
        <v>206</v>
      </c>
      <c r="CU116" s="193"/>
      <c r="CV116" s="193">
        <v>225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4651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174</v>
      </c>
      <c r="K117" s="164">
        <f>SUMIF(WMS용마재고!$A:$A,"S257-02.25", WMS용마재고!$L:$L)</f>
        <v>146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153</v>
      </c>
      <c r="O117" s="164">
        <f>SUMIF(WMS용마재고!$A:$A,"S257-03.25", WMS용마재고!$L:$L)</f>
        <v>164</v>
      </c>
      <c r="P117" s="164">
        <f>SUMIF(WMS용마재고!$A:$A,"S257-03.50", WMS용마재고!$L:$L)</f>
        <v>178</v>
      </c>
      <c r="Q117" s="164">
        <f>SUMIF(WMS용마재고!$A:$A,"S257-03.75", WMS용마재고!$L:$L)</f>
        <v>149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161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4650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174</v>
      </c>
      <c r="AW117" s="191">
        <f>SUMIF(WMS용마재고!$A:$A,"S257-02.25", WMS용마재고!$L:$L)</f>
        <v>146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153</v>
      </c>
      <c r="BA117" s="191">
        <f>SUMIF(WMS용마재고!$A:$A,"S257-03.25", WMS용마재고!$L:$L)</f>
        <v>164</v>
      </c>
      <c r="BB117" s="191">
        <f>SUMIF(WMS용마재고!$A:$A,"S257-03.50", WMS용마재고!$L:$L)</f>
        <v>178</v>
      </c>
      <c r="BC117" s="191">
        <f>SUMIF(WMS용마재고!$A:$A,"S257-03.75", WMS용마재고!$L:$L)</f>
        <v>149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161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176</v>
      </c>
      <c r="CD117" s="192">
        <v>143</v>
      </c>
      <c r="CE117" s="192">
        <v>180</v>
      </c>
      <c r="CF117" s="192">
        <v>174</v>
      </c>
      <c r="CG117" s="192">
        <v>146</v>
      </c>
      <c r="CH117" s="192">
        <v>143</v>
      </c>
      <c r="CI117" s="192">
        <v>208</v>
      </c>
      <c r="CJ117" s="192">
        <v>153</v>
      </c>
      <c r="CK117" s="192">
        <v>164</v>
      </c>
      <c r="CL117" s="192">
        <v>178</v>
      </c>
      <c r="CM117" s="192">
        <v>149</v>
      </c>
      <c r="CN117" s="192">
        <v>152</v>
      </c>
      <c r="CO117" s="192">
        <v>159</v>
      </c>
      <c r="CP117" s="192">
        <v>163</v>
      </c>
      <c r="CQ117" s="193">
        <v>184</v>
      </c>
      <c r="CR117" s="193">
        <v>146</v>
      </c>
      <c r="CS117" s="193"/>
      <c r="CT117" s="193">
        <v>190</v>
      </c>
      <c r="CU117" s="193"/>
      <c r="CV117" s="193">
        <v>161</v>
      </c>
      <c r="CW117" s="193">
        <v>200</v>
      </c>
      <c r="CX117" s="193">
        <v>203</v>
      </c>
      <c r="CY117" s="193">
        <v>183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1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45</v>
      </c>
      <c r="I120" s="164">
        <f>SUMIF(WMS용마재고!$A:$A,"s865-01.75", WMS용마재고!$L:$L)</f>
        <v>82</v>
      </c>
      <c r="J120" s="164">
        <f>SUMIF(WMS용마재고!$A:$A,"s865-02.00", WMS용마재고!$L:$L)</f>
        <v>104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78</v>
      </c>
      <c r="N120" s="164">
        <f>SUMIF(WMS용마재고!$A:$A,"s865-03.00", WMS용마재고!$L:$L)</f>
        <v>83</v>
      </c>
      <c r="O120" s="164">
        <f>SUMIF(WMS용마재고!$A:$A,"s865-03.25", WMS용마재고!$L:$L)</f>
        <v>54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46</v>
      </c>
      <c r="V120" s="167">
        <f>SUMIF(WMS용마재고!$A:$A,"s865-05.00", WMS용마재고!$L:$L)</f>
        <v>29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114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1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45</v>
      </c>
      <c r="AU120" s="191">
        <f>SUMIF(WMS용마재고!$A:$A,"s865-01.75", WMS용마재고!$L:$L)</f>
        <v>82</v>
      </c>
      <c r="AV120" s="191">
        <f>SUMIF(WMS용마재고!$A:$A,"s865-02.00", WMS용마재고!$L:$L)</f>
        <v>104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78</v>
      </c>
      <c r="AZ120" s="191">
        <f>SUMIF(WMS용마재고!$A:$A,"s865-03.00", WMS용마재고!$L:$L)</f>
        <v>83</v>
      </c>
      <c r="BA120" s="191">
        <f>SUMIF(WMS용마재고!$A:$A,"s865-03.25", WMS용마재고!$L:$L)</f>
        <v>54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46</v>
      </c>
      <c r="BH120" s="191">
        <f>SUMIF(WMS용마재고!$A:$A,"s865-05.00", WMS용마재고!$L:$L)</f>
        <v>29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114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1</v>
      </c>
      <c r="BZ120" s="192">
        <v>134</v>
      </c>
      <c r="CA120" s="192">
        <v>0</v>
      </c>
      <c r="CB120" s="192">
        <v>89</v>
      </c>
      <c r="CC120" s="192">
        <v>130</v>
      </c>
      <c r="CD120" s="192">
        <v>45</v>
      </c>
      <c r="CE120" s="192">
        <v>82</v>
      </c>
      <c r="CF120" s="192">
        <v>104</v>
      </c>
      <c r="CG120" s="192">
        <v>37</v>
      </c>
      <c r="CH120" s="192">
        <v>93</v>
      </c>
      <c r="CI120" s="192">
        <v>78</v>
      </c>
      <c r="CJ120" s="192">
        <v>83</v>
      </c>
      <c r="CK120" s="192">
        <v>54</v>
      </c>
      <c r="CL120" s="192">
        <v>46</v>
      </c>
      <c r="CM120" s="192">
        <v>45</v>
      </c>
      <c r="CN120" s="192">
        <v>22</v>
      </c>
      <c r="CO120" s="192">
        <v>64</v>
      </c>
      <c r="CP120" s="192">
        <v>87</v>
      </c>
      <c r="CQ120" s="193">
        <v>46</v>
      </c>
      <c r="CR120" s="193">
        <v>29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114</v>
      </c>
      <c r="CX120" s="193">
        <v>141</v>
      </c>
      <c r="CY120" s="193">
        <v>112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232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137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232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137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232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175</v>
      </c>
      <c r="CS121" s="193">
        <v>0</v>
      </c>
      <c r="CT121" s="193">
        <v>182</v>
      </c>
      <c r="CU121" s="193">
        <v>0</v>
      </c>
      <c r="CV121" s="193">
        <v>137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110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101</v>
      </c>
      <c r="L122" s="164">
        <f>SUMIF(WMS용마재고!$A:$A,"s873-02.50", WMS용마재고!$L:$L)</f>
        <v>41</v>
      </c>
      <c r="M122" s="164">
        <f>SUMIF(WMS용마재고!$A:$A,"s873-02.75", WMS용마재고!$L:$L)</f>
        <v>69</v>
      </c>
      <c r="N122" s="164">
        <f>SUMIF(WMS용마재고!$A:$A,"s873-03.00", WMS용마재고!$L:$L)</f>
        <v>139</v>
      </c>
      <c r="O122" s="164">
        <f>SUMIF(WMS용마재고!$A:$A,"s873-03.25", WMS용마재고!$L:$L)</f>
        <v>163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111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146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110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101</v>
      </c>
      <c r="AX122" s="191">
        <f>SUMIF(WMS용마재고!$A:$A,"s873-02.50", WMS용마재고!$L:$L)</f>
        <v>41</v>
      </c>
      <c r="AY122" s="191">
        <f>SUMIF(WMS용마재고!$A:$A,"s873-02.75", WMS용마재고!$L:$L)</f>
        <v>69</v>
      </c>
      <c r="AZ122" s="191">
        <f>SUMIF(WMS용마재고!$A:$A,"s873-03.00", WMS용마재고!$L:$L)</f>
        <v>139</v>
      </c>
      <c r="BA122" s="191">
        <f>SUMIF(WMS용마재고!$A:$A,"s873-03.25", WMS용마재고!$L:$L)</f>
        <v>163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111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146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110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101</v>
      </c>
      <c r="CH122" s="200">
        <v>41</v>
      </c>
      <c r="CI122" s="200">
        <v>69</v>
      </c>
      <c r="CJ122" s="200">
        <v>139</v>
      </c>
      <c r="CK122" s="200">
        <v>163</v>
      </c>
      <c r="CL122" s="200">
        <v>73</v>
      </c>
      <c r="CM122" s="200">
        <v>140</v>
      </c>
      <c r="CN122" s="200">
        <v>111</v>
      </c>
      <c r="CO122" s="200">
        <v>108</v>
      </c>
      <c r="CP122" s="200">
        <v>55</v>
      </c>
      <c r="CQ122" s="201">
        <v>136</v>
      </c>
      <c r="CR122" s="201">
        <v>146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52</v>
      </c>
      <c r="N123" s="164">
        <f>SUMIF(WMS용마재고!$A:$A,"s867-03.00", WMS용마재고!$L:$L)</f>
        <v>89</v>
      </c>
      <c r="O123" s="164">
        <f>SUMIF(WMS용마재고!$A:$A,"s867-03.25", WMS용마재고!$L:$L)</f>
        <v>69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52</v>
      </c>
      <c r="AZ123" s="191">
        <f>SUMIF(WMS용마재고!$A:$A,"s867-03.00", WMS용마재고!$L:$L)</f>
        <v>89</v>
      </c>
      <c r="BA123" s="191">
        <f>SUMIF(WMS용마재고!$A:$A,"s867-03.25", WMS용마재고!$L:$L)</f>
        <v>69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72</v>
      </c>
      <c r="BZ123" s="192">
        <v>101</v>
      </c>
      <c r="CA123" s="192">
        <v>0</v>
      </c>
      <c r="CB123" s="192">
        <v>63</v>
      </c>
      <c r="CC123" s="192">
        <v>74</v>
      </c>
      <c r="CD123" s="192">
        <v>44</v>
      </c>
      <c r="CE123" s="192">
        <v>12</v>
      </c>
      <c r="CF123" s="192">
        <v>26</v>
      </c>
      <c r="CG123" s="192">
        <v>106</v>
      </c>
      <c r="CH123" s="192">
        <v>22</v>
      </c>
      <c r="CI123" s="192">
        <v>52</v>
      </c>
      <c r="CJ123" s="192">
        <v>89</v>
      </c>
      <c r="CK123" s="192">
        <v>69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90</v>
      </c>
      <c r="CQ123" s="193">
        <v>175</v>
      </c>
      <c r="CR123" s="193">
        <v>81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47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47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47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166</v>
      </c>
      <c r="D125" s="167">
        <f>SUMIF(WMS용마재고!$A:$A,"s869-00.50", WMS용마재고!$L:$L)</f>
        <v>110</v>
      </c>
      <c r="E125" s="162"/>
      <c r="F125" s="164">
        <f>SUMIF(WMS용마재고!$A:$A,"s869-01.00", WMS용마재고!$L:$L)</f>
        <v>94</v>
      </c>
      <c r="G125" s="164">
        <f>SUMIF(WMS용마재고!$A:$A,"s869-01.25", WMS용마재고!$L:$L)</f>
        <v>112</v>
      </c>
      <c r="H125" s="164">
        <f>SUMIF(WMS용마재고!$A:$A,"s869-01.50", WMS용마재고!$L:$L)</f>
        <v>67</v>
      </c>
      <c r="I125" s="164">
        <f>SUMIF(WMS용마재고!$A:$A,"s869-01.75", WMS용마재고!$L:$L)</f>
        <v>127</v>
      </c>
      <c r="J125" s="164">
        <f>SUMIF(WMS용마재고!$A:$A,"s869-02.00", WMS용마재고!$L:$L)</f>
        <v>55</v>
      </c>
      <c r="K125" s="164">
        <f>SUMIF(WMS용마재고!$A:$A,"s869-02.25", WMS용마재고!$L:$L)</f>
        <v>116</v>
      </c>
      <c r="L125" s="164">
        <f>SUMIF(WMS용마재고!$A:$A,"s869-02.50", WMS용마재고!$L:$L)</f>
        <v>145</v>
      </c>
      <c r="M125" s="164">
        <f>SUMIF(WMS용마재고!$A:$A,"s869-02.75", WMS용마재고!$L:$L)</f>
        <v>111</v>
      </c>
      <c r="N125" s="164">
        <f>SUMIF(WMS용마재고!$A:$A,"s869-03.00", WMS용마재고!$L:$L)</f>
        <v>98</v>
      </c>
      <c r="O125" s="164">
        <f>SUMIF(WMS용마재고!$A:$A,"s869-03.25", WMS용마재고!$L:$L)</f>
        <v>107</v>
      </c>
      <c r="P125" s="164">
        <f>SUMIF(WMS용마재고!$A:$A,"s869-03.50", WMS용마재고!$L:$L)</f>
        <v>148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166</v>
      </c>
      <c r="AP125" s="338">
        <f>SUMIF(WMS용마재고!$A:$A,"s869-00.50", WMS용마재고!$L:$L)</f>
        <v>110</v>
      </c>
      <c r="AQ125" s="338">
        <f>SUMIF(WMS용마재고!$A:$A,"S869-00.75", WMS용마재고!$L:$L)</f>
        <v>0</v>
      </c>
      <c r="AR125" s="338">
        <f>SUMIF(WMS용마재고!$A:$A,"s869-01.00", WMS용마재고!$L:$L)</f>
        <v>94</v>
      </c>
      <c r="AS125" s="338">
        <f>SUMIF(WMS용마재고!$A:$A,"s869-01.25", WMS용마재고!$L:$L)</f>
        <v>112</v>
      </c>
      <c r="AT125" s="338">
        <f>SUMIF(WMS용마재고!$A:$A,"s869-01.50", WMS용마재고!$L:$L)</f>
        <v>67</v>
      </c>
      <c r="AU125" s="338">
        <f>SUMIF(WMS용마재고!$A:$A,"s869-01.75", WMS용마재고!$L:$L)</f>
        <v>127</v>
      </c>
      <c r="AV125" s="338">
        <f>SUMIF(WMS용마재고!$A:$A,"s869-02.00", WMS용마재고!$L:$L)</f>
        <v>55</v>
      </c>
      <c r="AW125" s="338">
        <f>SUMIF(WMS용마재고!$A:$A,"s869-02.25", WMS용마재고!$L:$L)</f>
        <v>116</v>
      </c>
      <c r="AX125" s="338">
        <f>SUMIF(WMS용마재고!$A:$A,"s869-02.50", WMS용마재고!$L:$L)</f>
        <v>145</v>
      </c>
      <c r="AY125" s="338">
        <f>SUMIF(WMS용마재고!$A:$A,"s869-02.75", WMS용마재고!$L:$L)</f>
        <v>111</v>
      </c>
      <c r="AZ125" s="338">
        <f>SUMIF(WMS용마재고!$A:$A,"s869-03.00", WMS용마재고!$L:$L)</f>
        <v>98</v>
      </c>
      <c r="BA125" s="338">
        <f>SUMIF(WMS용마재고!$A:$A,"s869-03.25", WMS용마재고!$L:$L)</f>
        <v>107</v>
      </c>
      <c r="BB125" s="338">
        <f>SUMIF(WMS용마재고!$A:$A,"s869-03.50", WMS용마재고!$L:$L)</f>
        <v>148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166</v>
      </c>
      <c r="BZ125" s="200">
        <v>110</v>
      </c>
      <c r="CA125" s="200">
        <v>0</v>
      </c>
      <c r="CB125" s="200">
        <v>94</v>
      </c>
      <c r="CC125" s="200">
        <v>112</v>
      </c>
      <c r="CD125" s="200">
        <v>67</v>
      </c>
      <c r="CE125" s="200">
        <v>127</v>
      </c>
      <c r="CF125" s="200">
        <v>55</v>
      </c>
      <c r="CG125" s="200">
        <v>116</v>
      </c>
      <c r="CH125" s="200">
        <v>145</v>
      </c>
      <c r="CI125" s="200">
        <v>111</v>
      </c>
      <c r="CJ125" s="200">
        <v>98</v>
      </c>
      <c r="CK125" s="200">
        <v>107</v>
      </c>
      <c r="CL125" s="200">
        <v>148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102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5963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130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132</v>
      </c>
      <c r="T126" s="164">
        <f>SUMIF(WMS용마재고!$A:$A,"s271-04.50", WMS용마재고!$L:$L)</f>
        <v>111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5962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130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132</v>
      </c>
      <c r="BF126" s="338">
        <f>SUMIF(WMS용마재고!$A:$A,"s271-04.50", WMS용마재고!$L:$L)</f>
        <v>111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102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152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130</v>
      </c>
      <c r="CM126" s="200">
        <v>139</v>
      </c>
      <c r="CN126" s="200">
        <v>120</v>
      </c>
      <c r="CO126" s="200">
        <v>132</v>
      </c>
      <c r="CP126" s="200">
        <v>111</v>
      </c>
      <c r="CQ126" s="200">
        <v>108</v>
      </c>
      <c r="CR126" s="200">
        <v>122</v>
      </c>
      <c r="CS126" s="200">
        <v>0</v>
      </c>
      <c r="CT126" s="200">
        <v>85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5965</v>
      </c>
      <c r="C127" s="164">
        <f>SUMIF(WMS용마재고!$A:$A,"s272-00.00", WMS용마재고!$L:$L)</f>
        <v>112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156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117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5964</v>
      </c>
      <c r="AO127" s="338">
        <f>SUMIF(WMS용마재고!$A:$A,"s272-00.00", WMS용마재고!$L:$L)</f>
        <v>112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156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117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112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156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166</v>
      </c>
      <c r="CQ127" s="200">
        <v>170</v>
      </c>
      <c r="CR127" s="200">
        <v>147</v>
      </c>
      <c r="CS127" s="200">
        <v>0</v>
      </c>
      <c r="CT127" s="200">
        <v>136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117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5967</v>
      </c>
      <c r="C128" s="164">
        <f>SUMIF(WMS용마재고!$A:$A,"s273-00.00", WMS용마재고!$L:$L)</f>
        <v>221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140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5966</v>
      </c>
      <c r="AO128" s="338">
        <f>SUMIF(WMS용마재고!$A:$A,"s273-00.00", WMS용마재고!$L:$L)</f>
        <v>221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140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221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140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168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5969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142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5968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142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142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149</v>
      </c>
      <c r="CR129" s="200">
        <v>118</v>
      </c>
      <c r="CS129" s="200">
        <v>0</v>
      </c>
      <c r="CT129" s="200">
        <v>54</v>
      </c>
      <c r="CU129" s="200">
        <v>0</v>
      </c>
      <c r="CV129" s="200">
        <v>104</v>
      </c>
      <c r="CW129" s="200">
        <v>107</v>
      </c>
      <c r="CX129" s="200">
        <v>162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5971</v>
      </c>
      <c r="C130" s="164">
        <f>SUMIF(WMS용마재고!$A:$A,"s275-00.00", WMS용마재고!$L:$L)</f>
        <v>94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110</v>
      </c>
      <c r="J130" s="164">
        <f>SUMIF(WMS용마재고!$A:$A,"s275-02.00", WMS용마재고!$L:$L)</f>
        <v>115</v>
      </c>
      <c r="K130" s="164">
        <f>SUMIF(WMS용마재고!$A:$A,"s275-02.25", WMS용마재고!$L:$L)</f>
        <v>107</v>
      </c>
      <c r="L130" s="164">
        <f>SUMIF(WMS용마재고!$A:$A,"s275-02.50", WMS용마재고!$L:$L)</f>
        <v>108</v>
      </c>
      <c r="M130" s="164">
        <f>SUMIF(WMS용마재고!$A:$A,"s275-02.75", WMS용마재고!$L:$L)</f>
        <v>109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124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5970</v>
      </c>
      <c r="AO130" s="338">
        <f>SUMIF(WMS용마재고!$A:$A,"s275-00.00", WMS용마재고!$L:$L)</f>
        <v>94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110</v>
      </c>
      <c r="AV130" s="338">
        <f>SUMIF(WMS용마재고!$A:$A,"s275-02.00", WMS용마재고!$L:$L)</f>
        <v>115</v>
      </c>
      <c r="AW130" s="338">
        <f>SUMIF(WMS용마재고!$A:$A,"s275-02.25", WMS용마재고!$L:$L)</f>
        <v>107</v>
      </c>
      <c r="AX130" s="338">
        <f>SUMIF(WMS용마재고!$A:$A,"s275-02.50", WMS용마재고!$L:$L)</f>
        <v>108</v>
      </c>
      <c r="AY130" s="338">
        <f>SUMIF(WMS용마재고!$A:$A,"s275-02.75", WMS용마재고!$L:$L)</f>
        <v>109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124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94</v>
      </c>
      <c r="BZ130" s="200">
        <v>59</v>
      </c>
      <c r="CA130" s="200">
        <v>0</v>
      </c>
      <c r="CB130" s="200">
        <v>112</v>
      </c>
      <c r="CC130" s="200">
        <v>108</v>
      </c>
      <c r="CD130" s="200">
        <v>89</v>
      </c>
      <c r="CE130" s="200">
        <v>110</v>
      </c>
      <c r="CF130" s="200">
        <v>115</v>
      </c>
      <c r="CG130" s="200">
        <v>107</v>
      </c>
      <c r="CH130" s="200">
        <v>108</v>
      </c>
      <c r="CI130" s="200">
        <v>109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163</v>
      </c>
      <c r="CO130" s="200">
        <v>172</v>
      </c>
      <c r="CP130" s="200">
        <v>181</v>
      </c>
      <c r="CQ130" s="200">
        <v>124</v>
      </c>
      <c r="CR130" s="200">
        <v>154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4964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50</v>
      </c>
      <c r="M132" s="164">
        <f>SUMIF(WMS용마재고!$A:$A,"s532-02.75", WMS용마재고!$L:$L)</f>
        <v>81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50</v>
      </c>
      <c r="AY132" s="336">
        <f>SUMIF(WMS용마재고!$A:$A,"s532-02.75", WMS용마재고!$L:$L)</f>
        <v>81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27</v>
      </c>
      <c r="CE132" s="192">
        <v>48</v>
      </c>
      <c r="CF132" s="192">
        <v>176</v>
      </c>
      <c r="CG132" s="192">
        <v>143</v>
      </c>
      <c r="CH132" s="192">
        <v>50</v>
      </c>
      <c r="CI132" s="192">
        <v>81</v>
      </c>
      <c r="CJ132" s="192">
        <v>98</v>
      </c>
      <c r="CK132" s="192">
        <v>159</v>
      </c>
      <c r="CL132" s="192">
        <v>96</v>
      </c>
      <c r="CM132" s="192">
        <v>60</v>
      </c>
      <c r="CN132" s="192">
        <v>122</v>
      </c>
      <c r="CO132" s="192">
        <v>146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249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66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63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128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66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63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128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66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33</v>
      </c>
      <c r="CK133" s="192">
        <v>41</v>
      </c>
      <c r="CL133" s="192">
        <v>179</v>
      </c>
      <c r="CM133" s="192">
        <v>88</v>
      </c>
      <c r="CN133" s="192">
        <v>66</v>
      </c>
      <c r="CO133" s="192">
        <v>63</v>
      </c>
      <c r="CP133" s="192">
        <v>89</v>
      </c>
      <c r="CQ133" s="193">
        <v>38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178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59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54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2" t="s">
        <v>3413</v>
      </c>
      <c r="B137" s="542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3" t="s">
        <v>6285</v>
      </c>
      <c r="B138" s="544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53</v>
      </c>
      <c r="J139" s="164">
        <f>SUMIF(WMS용마재고!$A:$A,"s009-02.00", WMS용마재고!$L:$L)</f>
        <v>33</v>
      </c>
      <c r="K139" s="164">
        <f>SUMIF(WMS용마재고!$A:$A,"s009-02.25", WMS용마재고!$L:$L)</f>
        <v>7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44</v>
      </c>
      <c r="O139" s="164">
        <f>SUMIF(WMS용마재고!$A:$A,"s009-03.25", WMS용마재고!$L:$L)</f>
        <v>0</v>
      </c>
      <c r="P139" s="164">
        <f>SUMIF(WMS용마재고!$A:$A,"s009-03.50", WMS용마재고!$L:$L)</f>
        <v>16</v>
      </c>
      <c r="Q139" s="164">
        <f>SUMIF(WMS용마재고!$A:$A,"s009-03.75", WMS용마재고!$L:$L)</f>
        <v>12</v>
      </c>
      <c r="R139" s="164">
        <f>SUMIF(WMS용마재고!$A:$A,"s009-04.00", WMS용마재고!$L:$L)</f>
        <v>39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10</v>
      </c>
      <c r="X139" s="164">
        <f>SUMIF(WMS용마재고!$A:$A,"s009-05.50", WMS용마재고!$L:$L)</f>
        <v>11</v>
      </c>
      <c r="Y139" s="164">
        <f>SUMIF(WMS용마재고!$A:$A,"s009-05.75", WMS용마재고!$L:$L)</f>
        <v>17</v>
      </c>
      <c r="Z139" s="164">
        <f>SUMIF(WMS용마재고!$A:$A,"s009-06.00", WMS용마재고!$L:$L)</f>
        <v>6</v>
      </c>
      <c r="AA139" s="164">
        <f>SUMIF(WMS용마재고!$A:$A,"s009-06.50", WMS용마재고!$L:$L)</f>
        <v>32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30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97</v>
      </c>
      <c r="AH139" s="164">
        <f>SUMIF(WMS용마재고!$A:$A,"s009-10.00", WMS용마재고!$L:$L)</f>
        <v>39</v>
      </c>
      <c r="AI139" s="164">
        <f>SUMIF(WMS용마재고!$A:$A,"s009-10.50", WMS용마재고!$L:$L)</f>
        <v>16</v>
      </c>
      <c r="AJ139" s="164">
        <f>SUMIF(WMS용마재고!$A:$A,"s009-11.00", WMS용마재고!$L:$L)</f>
        <v>24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53</v>
      </c>
      <c r="AV139" s="336">
        <f>SUMIF(WMS용마재고!$A:$A,"s009-02.00", WMS용마재고!$L:$L)</f>
        <v>33</v>
      </c>
      <c r="AW139" s="336">
        <f>SUMIF(WMS용마재고!$A:$A,"s009-02.25", WMS용마재고!$L:$L)</f>
        <v>7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44</v>
      </c>
      <c r="BA139" s="336">
        <f>SUMIF(WMS용마재고!$A:$A,"s009-03.25", WMS용마재고!$L:$L)</f>
        <v>0</v>
      </c>
      <c r="BB139" s="336">
        <f>SUMIF(WMS용마재고!$A:$A,"s009-03.50", WMS용마재고!$L:$L)</f>
        <v>16</v>
      </c>
      <c r="BC139" s="336">
        <f>SUMIF(WMS용마재고!$A:$A,"s009-03.75", WMS용마재고!$L:$L)</f>
        <v>12</v>
      </c>
      <c r="BD139" s="336">
        <f>SUMIF(WMS용마재고!$A:$A,"s009-04.00", WMS용마재고!$L:$L)</f>
        <v>39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10</v>
      </c>
      <c r="BJ139" s="336">
        <f>SUMIF(WMS용마재고!$A:$A,"s009-05.50", WMS용마재고!$L:$L)</f>
        <v>11</v>
      </c>
      <c r="BK139" s="336">
        <f>SUMIF(WMS용마재고!$A:$A,"s009-05.75", WMS용마재고!$L:$L)</f>
        <v>17</v>
      </c>
      <c r="BL139" s="336">
        <f>SUMIF(WMS용마재고!$A:$A,"s009-06.00", WMS용마재고!$L:$L)</f>
        <v>6</v>
      </c>
      <c r="BM139" s="336">
        <f>SUMIF(WMS용마재고!$A:$A,"s009-06.50", WMS용마재고!$L:$L)</f>
        <v>32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30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97</v>
      </c>
      <c r="BT139" s="336">
        <f>SUMIF(WMS용마재고!$A:$A,"s009-10.00", WMS용마재고!$L:$L)</f>
        <v>39</v>
      </c>
      <c r="BU139" s="336">
        <f>SUMIF(WMS용마재고!$A:$A,"s009-10.50", WMS용마재고!$L:$L)</f>
        <v>16</v>
      </c>
      <c r="BV139" s="336">
        <f>SUMIF(WMS용마재고!$A:$A,"s009-11.00", WMS용마재고!$L:$L)</f>
        <v>24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15</v>
      </c>
      <c r="CE139" s="192">
        <v>53</v>
      </c>
      <c r="CF139" s="192">
        <v>33</v>
      </c>
      <c r="CG139" s="192">
        <v>7</v>
      </c>
      <c r="CH139" s="192">
        <v>9</v>
      </c>
      <c r="CI139" s="192">
        <v>6</v>
      </c>
      <c r="CJ139" s="192">
        <v>44</v>
      </c>
      <c r="CK139" s="192">
        <v>0</v>
      </c>
      <c r="CL139" s="192">
        <v>16</v>
      </c>
      <c r="CM139" s="192">
        <v>12</v>
      </c>
      <c r="CN139" s="192">
        <v>39</v>
      </c>
      <c r="CO139" s="192">
        <v>0</v>
      </c>
      <c r="CP139" s="192">
        <v>0</v>
      </c>
      <c r="CQ139" s="193">
        <v>0</v>
      </c>
      <c r="CR139" s="193">
        <v>9</v>
      </c>
      <c r="CS139" s="193">
        <v>10</v>
      </c>
      <c r="CT139" s="193">
        <v>11</v>
      </c>
      <c r="CU139" s="193">
        <v>17</v>
      </c>
      <c r="CV139" s="193">
        <v>6</v>
      </c>
      <c r="CW139" s="193">
        <v>32</v>
      </c>
      <c r="CX139" s="193">
        <v>4</v>
      </c>
      <c r="CY139" s="193">
        <v>9</v>
      </c>
      <c r="CZ139" s="193">
        <v>30</v>
      </c>
      <c r="DA139" s="193">
        <v>7</v>
      </c>
      <c r="DB139" s="193">
        <v>26</v>
      </c>
      <c r="DC139" s="193">
        <v>97</v>
      </c>
      <c r="DD139" s="193">
        <v>39</v>
      </c>
      <c r="DE139" s="193">
        <v>16</v>
      </c>
      <c r="DF139" s="193">
        <v>24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43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24</v>
      </c>
      <c r="K140" s="164">
        <f>SUMIF(WMS용마재고!$A:$A,"S010-02.25", WMS용마재고!$L:$L)</f>
        <v>48</v>
      </c>
      <c r="L140" s="164">
        <f>SUMIF(WMS용마재고!$A:$A,"S010-02.50", WMS용마재고!$L:$L)</f>
        <v>30</v>
      </c>
      <c r="M140" s="164">
        <f>SUMIF(WMS용마재고!$A:$A,"S010-02.75", WMS용마재고!$L:$L)</f>
        <v>44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23</v>
      </c>
      <c r="Q140" s="164">
        <f>SUMIF(WMS용마재고!$A:$A,"S010-03.75", WMS용마재고!$L:$L)</f>
        <v>39</v>
      </c>
      <c r="R140" s="164">
        <f>SUMIF(WMS용마재고!$A:$A,"S010-04.00", WMS용마재고!$L:$L)</f>
        <v>8</v>
      </c>
      <c r="S140" s="164">
        <f>SUMIF(WMS용마재고!$A:$A,"S010-04.25", WMS용마재고!$L:$L)</f>
        <v>38</v>
      </c>
      <c r="T140" s="164">
        <f>SUMIF(WMS용마재고!$A:$A,"S010-04.50", WMS용마재고!$L:$L)</f>
        <v>44</v>
      </c>
      <c r="U140" s="164">
        <f>SUMIF(WMS용마재고!$A:$A,"S010-04.75", WMS용마재고!$L:$L)</f>
        <v>17</v>
      </c>
      <c r="V140" s="164">
        <f>SUMIF(WMS용마재고!$A:$A,"S010-05.00", WMS용마재고!$L:$L)</f>
        <v>30</v>
      </c>
      <c r="W140" s="164">
        <f>SUMIF(WMS용마재고!$A:$A,"S010-05.25", WMS용마재고!$L:$L)</f>
        <v>42</v>
      </c>
      <c r="X140" s="164">
        <f>SUMIF(WMS용마재고!$A:$A,"S010-05.50", WMS용마재고!$L:$L)</f>
        <v>28</v>
      </c>
      <c r="Y140" s="164">
        <f>SUMIF(WMS용마재고!$A:$A,"S010-05.75", WMS용마재고!$L:$L)</f>
        <v>46</v>
      </c>
      <c r="Z140" s="164">
        <f>SUMIF(WMS용마재고!$A:$A,"S010-06.00", WMS용마재고!$L:$L)</f>
        <v>40</v>
      </c>
      <c r="AA140" s="164">
        <f>SUMIF(WMS용마재고!$A:$A,"S010-06.50", WMS용마재고!$L:$L)</f>
        <v>44</v>
      </c>
      <c r="AB140" s="164">
        <f>SUMIF(WMS용마재고!$A:$A,"S010-07.00", WMS용마재고!$L:$L)</f>
        <v>35</v>
      </c>
      <c r="AC140" s="164">
        <f>SUMIF(WMS용마재고!$A:$A,"S010-07.50", WMS용마재고!$L:$L)</f>
        <v>43</v>
      </c>
      <c r="AD140" s="164">
        <f>SUMIF(WMS용마재고!$A:$A,"S010-08.00", WMS용마재고!$L:$L)</f>
        <v>43</v>
      </c>
      <c r="AE140" s="164">
        <f>SUMIF(WMS용마재고!$A:$A,"S010-08.50", WMS용마재고!$L:$L)</f>
        <v>42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43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24</v>
      </c>
      <c r="AW140" s="191">
        <f>SUMIF(WMS용마재고!$A:$A,"S010-02.25", WMS용마재고!$L:$L)</f>
        <v>48</v>
      </c>
      <c r="AX140" s="191">
        <f>SUMIF(WMS용마재고!$A:$A,"S010-02.50", WMS용마재고!$L:$L)</f>
        <v>30</v>
      </c>
      <c r="AY140" s="191">
        <f>SUMIF(WMS용마재고!$A:$A,"S010-02.75", WMS용마재고!$L:$L)</f>
        <v>44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23</v>
      </c>
      <c r="BC140" s="191">
        <f>SUMIF(WMS용마재고!$A:$A,"S010-03.75", WMS용마재고!$L:$L)</f>
        <v>39</v>
      </c>
      <c r="BD140" s="191">
        <f>SUMIF(WMS용마재고!$A:$A,"S010-04.00", WMS용마재고!$L:$L)</f>
        <v>8</v>
      </c>
      <c r="BE140" s="191">
        <f>SUMIF(WMS용마재고!$A:$A,"S010-04.25", WMS용마재고!$L:$L)</f>
        <v>38</v>
      </c>
      <c r="BF140" s="191">
        <f>SUMIF(WMS용마재고!$A:$A,"S010-04.50", WMS용마재고!$L:$L)</f>
        <v>44</v>
      </c>
      <c r="BG140" s="191">
        <f>SUMIF(WMS용마재고!$A:$A,"S010-04.75", WMS용마재고!$L:$L)</f>
        <v>17</v>
      </c>
      <c r="BH140" s="191">
        <f>SUMIF(WMS용마재고!$A:$A,"S010-05.00", WMS용마재고!$L:$L)</f>
        <v>30</v>
      </c>
      <c r="BI140" s="191">
        <f>SUMIF(WMS용마재고!$A:$A,"S010-05.25", WMS용마재고!$L:$L)</f>
        <v>42</v>
      </c>
      <c r="BJ140" s="191">
        <f>SUMIF(WMS용마재고!$A:$A,"S010-05.50", WMS용마재고!$L:$L)</f>
        <v>28</v>
      </c>
      <c r="BK140" s="191">
        <f>SUMIF(WMS용마재고!$A:$A,"S010-05.75", WMS용마재고!$L:$L)</f>
        <v>46</v>
      </c>
      <c r="BL140" s="191">
        <f>SUMIF(WMS용마재고!$A:$A,"S010-06.00", WMS용마재고!$L:$L)</f>
        <v>40</v>
      </c>
      <c r="BM140" s="191">
        <f>SUMIF(WMS용마재고!$A:$A,"S010-06.50", WMS용마재고!$L:$L)</f>
        <v>44</v>
      </c>
      <c r="BN140" s="191">
        <f>SUMIF(WMS용마재고!$A:$A,"S010-07.00", WMS용마재고!$L:$L)</f>
        <v>35</v>
      </c>
      <c r="BO140" s="191">
        <f>SUMIF(WMS용마재고!$A:$A,"S010-07.50", WMS용마재고!$L:$L)</f>
        <v>43</v>
      </c>
      <c r="BP140" s="191">
        <f>SUMIF(WMS용마재고!$A:$A,"S010-08.00", WMS용마재고!$L:$L)</f>
        <v>43</v>
      </c>
      <c r="BQ140" s="191">
        <f>SUMIF(WMS용마재고!$A:$A,"S010-08.50", WMS용마재고!$L:$L)</f>
        <v>42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43</v>
      </c>
      <c r="CD140" s="192">
        <v>45</v>
      </c>
      <c r="CE140" s="192">
        <v>45</v>
      </c>
      <c r="CF140" s="192">
        <v>24</v>
      </c>
      <c r="CG140" s="192">
        <v>48</v>
      </c>
      <c r="CH140" s="192">
        <v>30</v>
      </c>
      <c r="CI140" s="192">
        <v>44</v>
      </c>
      <c r="CJ140" s="192">
        <v>26</v>
      </c>
      <c r="CK140" s="192">
        <v>8</v>
      </c>
      <c r="CL140" s="192">
        <v>23</v>
      </c>
      <c r="CM140" s="192">
        <v>39</v>
      </c>
      <c r="CN140" s="192">
        <v>8</v>
      </c>
      <c r="CO140" s="192">
        <v>38</v>
      </c>
      <c r="CP140" s="192">
        <v>44</v>
      </c>
      <c r="CQ140" s="193">
        <v>17</v>
      </c>
      <c r="CR140" s="193">
        <v>30</v>
      </c>
      <c r="CS140" s="193">
        <v>42</v>
      </c>
      <c r="CT140" s="193">
        <v>28</v>
      </c>
      <c r="CU140" s="193">
        <v>46</v>
      </c>
      <c r="CV140" s="193">
        <v>40</v>
      </c>
      <c r="CW140" s="193">
        <v>44</v>
      </c>
      <c r="CX140" s="193">
        <v>35</v>
      </c>
      <c r="CY140" s="193">
        <v>43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7</v>
      </c>
      <c r="M142" s="164">
        <f>SUMIF(WMS용마재고!$A:$A,"S012-02.75", WMS용마재고!$L:$L)</f>
        <v>20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14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32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37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7</v>
      </c>
      <c r="AY142" s="191">
        <f>SUMIF(WMS용마재고!$A:$A,"S012-02.75", WMS용마재고!$L:$L)</f>
        <v>20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14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32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37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20</v>
      </c>
      <c r="CJ142" s="192">
        <v>0</v>
      </c>
      <c r="CK142" s="192">
        <v>2</v>
      </c>
      <c r="CL142" s="192">
        <v>2</v>
      </c>
      <c r="CM142" s="192">
        <v>8</v>
      </c>
      <c r="CN142" s="192">
        <v>0</v>
      </c>
      <c r="CO142" s="192">
        <v>17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14</v>
      </c>
      <c r="CV142" s="193">
        <v>0</v>
      </c>
      <c r="CW142" s="193">
        <v>0</v>
      </c>
      <c r="CX142" s="193">
        <v>23</v>
      </c>
      <c r="CY142" s="193">
        <v>32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37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4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11</v>
      </c>
      <c r="S143" s="164">
        <f>SUMIF(WMS용마재고!$A:$A,"S008-04.25", WMS용마재고!$L:$L)</f>
        <v>6</v>
      </c>
      <c r="T143" s="164">
        <f>SUMIF(WMS용마재고!$A:$A,"S008-04.50", WMS용마재고!$L:$L)</f>
        <v>40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4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11</v>
      </c>
      <c r="BE143" s="191">
        <f>SUMIF(WMS용마재고!$A:$A,"S008-04.25", WMS용마재고!$L:$L)</f>
        <v>6</v>
      </c>
      <c r="BF143" s="191">
        <f>SUMIF(WMS용마재고!$A:$A,"S008-04.50", WMS용마재고!$L:$L)</f>
        <v>40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11</v>
      </c>
      <c r="CI143" s="192">
        <v>4</v>
      </c>
      <c r="CJ143" s="192">
        <v>0</v>
      </c>
      <c r="CK143" s="192">
        <v>4</v>
      </c>
      <c r="CL143" s="192">
        <v>0</v>
      </c>
      <c r="CM143" s="192">
        <v>0</v>
      </c>
      <c r="CN143" s="192">
        <v>11</v>
      </c>
      <c r="CO143" s="192">
        <v>6</v>
      </c>
      <c r="CP143" s="192">
        <v>40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4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10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22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38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22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8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15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22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38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22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8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15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32</v>
      </c>
      <c r="CH144" s="192">
        <v>25</v>
      </c>
      <c r="CI144" s="192">
        <v>62</v>
      </c>
      <c r="CJ144" s="192">
        <v>22</v>
      </c>
      <c r="CK144" s="192">
        <v>14</v>
      </c>
      <c r="CL144" s="192">
        <v>34</v>
      </c>
      <c r="CM144" s="192">
        <v>14</v>
      </c>
      <c r="CN144" s="192">
        <v>14</v>
      </c>
      <c r="CO144" s="192">
        <v>6</v>
      </c>
      <c r="CP144" s="192">
        <v>38</v>
      </c>
      <c r="CQ144" s="193">
        <v>44</v>
      </c>
      <c r="CR144" s="193">
        <v>23</v>
      </c>
      <c r="CS144" s="193">
        <v>36</v>
      </c>
      <c r="CT144" s="193">
        <v>22</v>
      </c>
      <c r="CU144" s="193">
        <v>54</v>
      </c>
      <c r="CV144" s="193">
        <v>8</v>
      </c>
      <c r="CW144" s="193">
        <v>8</v>
      </c>
      <c r="CX144" s="193">
        <v>5</v>
      </c>
      <c r="CY144" s="193">
        <v>5</v>
      </c>
      <c r="CZ144" s="193">
        <v>15</v>
      </c>
      <c r="DA144" s="193">
        <v>20</v>
      </c>
      <c r="DB144" s="193">
        <v>39</v>
      </c>
      <c r="DC144" s="193">
        <v>62</v>
      </c>
      <c r="DD144" s="193">
        <v>31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43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37</v>
      </c>
      <c r="R145" s="164">
        <f>SUMIF(WMS용마재고!$A:$A,"S017-04.00-1.25180", WMS용마재고!$L:$L)</f>
        <v>2</v>
      </c>
      <c r="S145" s="164">
        <f>SUMIF(WMS용마재고!$A:$A,"S017-04.25-1.25180", WMS용마재고!$L:$L)</f>
        <v>6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10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41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1</v>
      </c>
      <c r="AC145" s="164">
        <f>SUMIF(WMS용마재고!$A:$A,"S017-07.50-1.25180", WMS용마재고!$L:$L)</f>
        <v>36</v>
      </c>
      <c r="AD145" s="164">
        <f>SUMIF(WMS용마재고!$A:$A,"S017-08.00-1.25180", WMS용마재고!$L:$L)</f>
        <v>21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43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37</v>
      </c>
      <c r="BD145" s="191">
        <f>SUMIF(WMS용마재고!$A:$A,"S017-04.00-1.25180", WMS용마재고!$L:$L)</f>
        <v>2</v>
      </c>
      <c r="BE145" s="191">
        <f>SUMIF(WMS용마재고!$A:$A,"S017-04.25-1.25180", WMS용마재고!$L:$L)</f>
        <v>6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10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41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1</v>
      </c>
      <c r="BO145" s="191">
        <f>SUMIF(WMS용마재고!$A:$A,"S017-07.50-1.25180", WMS용마재고!$L:$L)</f>
        <v>36</v>
      </c>
      <c r="BP145" s="191">
        <f>SUMIF(WMS용마재고!$A:$A,"S017-08.00-1.25180", WMS용마재고!$L:$L)</f>
        <v>21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43</v>
      </c>
      <c r="CJ145" s="192">
        <v>9</v>
      </c>
      <c r="CK145" s="192">
        <v>43</v>
      </c>
      <c r="CL145" s="192">
        <v>0</v>
      </c>
      <c r="CM145" s="192">
        <v>37</v>
      </c>
      <c r="CN145" s="192">
        <v>2</v>
      </c>
      <c r="CO145" s="192">
        <v>6</v>
      </c>
      <c r="CP145" s="192">
        <v>18</v>
      </c>
      <c r="CQ145" s="193">
        <v>10</v>
      </c>
      <c r="CR145" s="193">
        <v>20</v>
      </c>
      <c r="CS145" s="193">
        <v>47</v>
      </c>
      <c r="CT145" s="193">
        <v>9</v>
      </c>
      <c r="CU145" s="193">
        <v>41</v>
      </c>
      <c r="CV145" s="193">
        <v>4</v>
      </c>
      <c r="CW145" s="193">
        <v>6</v>
      </c>
      <c r="CX145" s="193">
        <v>1</v>
      </c>
      <c r="CY145" s="193">
        <v>36</v>
      </c>
      <c r="CZ145" s="193">
        <v>21</v>
      </c>
      <c r="DA145" s="193">
        <v>42</v>
      </c>
      <c r="DB145" s="193">
        <v>28</v>
      </c>
      <c r="DC145" s="193">
        <v>75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74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24</v>
      </c>
      <c r="P146" s="164">
        <f>SUMIF(WMS용마재고!$A:$A,"S017-03.50-1.75180", WMS용마재고!$L:$L)</f>
        <v>35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65</v>
      </c>
      <c r="S146" s="164">
        <f>SUMIF(WMS용마재고!$A:$A,"S017-04.25-1.75180", WMS용마재고!$L:$L)</f>
        <v>52</v>
      </c>
      <c r="T146" s="164">
        <f>SUMIF(WMS용마재고!$A:$A,"S017-04.50-1.75180", WMS용마재고!$L:$L)</f>
        <v>9</v>
      </c>
      <c r="U146" s="164">
        <f>SUMIF(WMS용마재고!$A:$A,"S017-04.75-1.75180", WMS용마재고!$L:$L)</f>
        <v>35</v>
      </c>
      <c r="V146" s="164">
        <f>SUMIF(WMS용마재고!$A:$A,"S017-05.00-1.75180", WMS용마재고!$L:$L)</f>
        <v>14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20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40</v>
      </c>
      <c r="AG146" s="164">
        <f>SUMIF(WMS용마재고!$A:$A,"S017-09.50-1.75180", WMS용마재고!$L:$L)</f>
        <v>48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74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24</v>
      </c>
      <c r="BB146" s="191">
        <f>SUMIF(WMS용마재고!$A:$A,"S017-03.50-1.75180", WMS용마재고!$L:$L)</f>
        <v>35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65</v>
      </c>
      <c r="BE146" s="191">
        <f>SUMIF(WMS용마재고!$A:$A,"S017-04.25-1.75180", WMS용마재고!$L:$L)</f>
        <v>52</v>
      </c>
      <c r="BF146" s="191">
        <f>SUMIF(WMS용마재고!$A:$A,"S017-04.50-1.75180", WMS용마재고!$L:$L)</f>
        <v>9</v>
      </c>
      <c r="BG146" s="191">
        <f>SUMIF(WMS용마재고!$A:$A,"S017-04.75-1.75180", WMS용마재고!$L:$L)</f>
        <v>35</v>
      </c>
      <c r="BH146" s="191">
        <f>SUMIF(WMS용마재고!$A:$A,"S017-05.00-1.75180", WMS용마재고!$L:$L)</f>
        <v>14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20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40</v>
      </c>
      <c r="BS146" s="191">
        <f>SUMIF(WMS용마재고!$A:$A,"S017-09.50-1.75180", WMS용마재고!$L:$L)</f>
        <v>48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74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24</v>
      </c>
      <c r="CL146" s="192">
        <v>35</v>
      </c>
      <c r="CM146" s="192">
        <v>34</v>
      </c>
      <c r="CN146" s="192">
        <v>65</v>
      </c>
      <c r="CO146" s="192">
        <v>52</v>
      </c>
      <c r="CP146" s="192">
        <v>9</v>
      </c>
      <c r="CQ146" s="193">
        <v>35</v>
      </c>
      <c r="CR146" s="193">
        <v>14</v>
      </c>
      <c r="CS146" s="193">
        <v>8</v>
      </c>
      <c r="CT146" s="193">
        <v>7</v>
      </c>
      <c r="CU146" s="193">
        <v>7</v>
      </c>
      <c r="CV146" s="193">
        <v>20</v>
      </c>
      <c r="CW146" s="193">
        <v>0</v>
      </c>
      <c r="CX146" s="193">
        <v>0</v>
      </c>
      <c r="CY146" s="193">
        <v>4</v>
      </c>
      <c r="CZ146" s="193">
        <v>7</v>
      </c>
      <c r="DA146" s="193">
        <v>6</v>
      </c>
      <c r="DB146" s="193">
        <v>40</v>
      </c>
      <c r="DC146" s="193">
        <v>48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41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2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10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29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41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2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10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29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41</v>
      </c>
      <c r="CC147" s="192">
        <v>45</v>
      </c>
      <c r="CD147" s="192">
        <v>43</v>
      </c>
      <c r="CE147" s="192">
        <v>80</v>
      </c>
      <c r="CF147" s="192">
        <v>10</v>
      </c>
      <c r="CG147" s="192">
        <v>96</v>
      </c>
      <c r="CH147" s="192">
        <v>29</v>
      </c>
      <c r="CI147" s="192">
        <v>14</v>
      </c>
      <c r="CJ147" s="192">
        <v>23</v>
      </c>
      <c r="CK147" s="192">
        <v>14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14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13</v>
      </c>
      <c r="CV147" s="193">
        <v>5</v>
      </c>
      <c r="CW147" s="193">
        <v>0</v>
      </c>
      <c r="CX147" s="193">
        <v>8</v>
      </c>
      <c r="CY147" s="193">
        <v>18</v>
      </c>
      <c r="CZ147" s="193">
        <v>2</v>
      </c>
      <c r="DA147" s="193">
        <v>8</v>
      </c>
      <c r="DB147" s="193">
        <v>10</v>
      </c>
      <c r="DC147" s="193">
        <v>61</v>
      </c>
      <c r="DD147" s="193">
        <v>29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4297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42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56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60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26</v>
      </c>
      <c r="N148" s="164">
        <f>SUMIF(WMS용마재고!$A:$A,"S017-03.00-2.75180", WMS용마재고!$L:$L)</f>
        <v>46</v>
      </c>
      <c r="O148" s="164">
        <f>SUMIF(WMS용마재고!$A:$A,"S017-03.25-2.75180", WMS용마재고!$L:$L)</f>
        <v>49</v>
      </c>
      <c r="P148" s="164">
        <f>SUMIF(WMS용마재고!$A:$A,"S017-03.50-2.75180", WMS용마재고!$L:$L)</f>
        <v>25</v>
      </c>
      <c r="Q148" s="164">
        <f>SUMIF(WMS용마재고!$A:$A,"S017-03.75-2.75180", WMS용마재고!$L:$L)</f>
        <v>27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24</v>
      </c>
      <c r="W148" s="164">
        <f>SUMIF(WMS용마재고!$A:$A,"S017-05.25-2.75180", WMS용마재고!$L:$L)</f>
        <v>37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4</v>
      </c>
      <c r="AC148" s="164">
        <f>SUMIF(WMS용마재고!$A:$A,"S017-07.50-2.75180", WMS용마재고!$L:$L)</f>
        <v>5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51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17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42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56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60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26</v>
      </c>
      <c r="AZ148" s="338">
        <f>SUMIF(WMS용마재고!$A:$A,"S017-03.00-2.75180", WMS용마재고!$L:$L)</f>
        <v>46</v>
      </c>
      <c r="BA148" s="338">
        <f>SUMIF(WMS용마재고!$A:$A,"S017-03.25-2.75180", WMS용마재고!$L:$L)</f>
        <v>49</v>
      </c>
      <c r="BB148" s="338">
        <f>SUMIF(WMS용마재고!$A:$A,"S017-03.50-2.75180", WMS용마재고!$L:$L)</f>
        <v>25</v>
      </c>
      <c r="BC148" s="338">
        <f>SUMIF(WMS용마재고!$A:$A,"S017-03.75-2.75180", WMS용마재고!$L:$L)</f>
        <v>27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24</v>
      </c>
      <c r="BI148" s="338">
        <f>SUMIF(WMS용마재고!$A:$A,"S017-05.25-2.75180", WMS용마재고!$L:$L)</f>
        <v>37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4</v>
      </c>
      <c r="BO148" s="338">
        <f>SUMIF(WMS용마재고!$A:$A,"S017-07.50-2.75180", WMS용마재고!$L:$L)</f>
        <v>5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51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17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42</v>
      </c>
      <c r="CA148" s="192">
        <v>42</v>
      </c>
      <c r="CB148" s="192">
        <v>43</v>
      </c>
      <c r="CC148" s="192">
        <v>45</v>
      </c>
      <c r="CD148" s="192">
        <v>56</v>
      </c>
      <c r="CE148" s="192">
        <v>21</v>
      </c>
      <c r="CF148" s="192">
        <v>28</v>
      </c>
      <c r="CG148" s="192">
        <v>60</v>
      </c>
      <c r="CH148" s="192">
        <v>62</v>
      </c>
      <c r="CI148" s="192">
        <v>26</v>
      </c>
      <c r="CJ148" s="192">
        <v>46</v>
      </c>
      <c r="CK148" s="192">
        <v>49</v>
      </c>
      <c r="CL148" s="192">
        <v>25</v>
      </c>
      <c r="CM148" s="192">
        <v>27</v>
      </c>
      <c r="CN148" s="192">
        <v>6</v>
      </c>
      <c r="CO148" s="192">
        <v>9</v>
      </c>
      <c r="CP148" s="192">
        <v>9</v>
      </c>
      <c r="CQ148" s="193">
        <v>3</v>
      </c>
      <c r="CR148" s="193">
        <v>24</v>
      </c>
      <c r="CS148" s="193">
        <v>37</v>
      </c>
      <c r="CT148" s="193">
        <v>3</v>
      </c>
      <c r="CU148" s="193">
        <v>59</v>
      </c>
      <c r="CV148" s="193">
        <v>7</v>
      </c>
      <c r="CW148" s="193">
        <v>5</v>
      </c>
      <c r="CX148" s="193">
        <v>4</v>
      </c>
      <c r="CY148" s="193">
        <v>5</v>
      </c>
      <c r="CZ148" s="193">
        <v>7</v>
      </c>
      <c r="DA148" s="193">
        <v>51</v>
      </c>
      <c r="DB148" s="193">
        <v>9</v>
      </c>
      <c r="DC148" s="193">
        <v>57</v>
      </c>
      <c r="DD148" s="193">
        <v>17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4289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4330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4290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4331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4291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4332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4292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4333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4293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4334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4294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4335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4295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4336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4296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4337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4298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36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4298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36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36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4299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42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4299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42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42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4300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4300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4301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4301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4302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4302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4303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4303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4304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4304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4305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4305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44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38</v>
      </c>
      <c r="CT164" s="193">
        <v>47</v>
      </c>
      <c r="CU164" s="193">
        <v>48</v>
      </c>
      <c r="CV164" s="193">
        <v>45</v>
      </c>
      <c r="CW164" s="193">
        <v>38</v>
      </c>
      <c r="CX164" s="193">
        <v>46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4306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22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4306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22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48</v>
      </c>
      <c r="CW165" s="193">
        <v>22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4307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4307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4308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4308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4309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4309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4310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4310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4311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4311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4312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4312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4313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20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4313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20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47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41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20</v>
      </c>
      <c r="CU172" s="193">
        <v>50</v>
      </c>
      <c r="CV172" s="193">
        <v>29</v>
      </c>
      <c r="CW172" s="193">
        <v>31</v>
      </c>
      <c r="CX172" s="193">
        <v>47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4314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4314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4315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4315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4316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4316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4317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4317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4318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4318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4319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4319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4320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4320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4321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24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4321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24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45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4322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4322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4323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4323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4324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4324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4325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4325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4326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4326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4327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4327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4328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4328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4329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4329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77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3" t="s">
        <v>5041</v>
      </c>
      <c r="B189" s="544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4969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3" t="s">
        <v>6073</v>
      </c>
      <c r="B192" s="544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57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30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71</v>
      </c>
      <c r="M193" s="164">
        <f>SUMIF(WMS용마재고!$A:$A,"S201-02.75", WMS용마재고!$L:$L)</f>
        <v>83</v>
      </c>
      <c r="N193" s="164">
        <f>SUMIF(WMS용마재고!$A:$A,"S201-03.00", WMS용마재고!$L:$L)</f>
        <v>38</v>
      </c>
      <c r="O193" s="164">
        <f>SUMIF(WMS용마재고!$A:$A,"S201-03.25", WMS용마재고!$L:$L)</f>
        <v>33</v>
      </c>
      <c r="P193" s="164">
        <f>SUMIF(WMS용마재고!$A:$A,"S201-03.50", WMS용마재고!$L:$L)</f>
        <v>110</v>
      </c>
      <c r="Q193" s="164">
        <f>SUMIF(WMS용마재고!$A:$A,"S201-03.75", WMS용마재고!$L:$L)</f>
        <v>149</v>
      </c>
      <c r="R193" s="164">
        <f>SUMIF(WMS용마재고!$A:$A,"S201-04.00", WMS용마재고!$L:$L)</f>
        <v>137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57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30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71</v>
      </c>
      <c r="AY193" s="336">
        <f>SUMIF(WMS용마재고!$A:$A,"S201-02.75", WMS용마재고!$L:$L)</f>
        <v>83</v>
      </c>
      <c r="AZ193" s="336">
        <f>SUMIF(WMS용마재고!$A:$A,"S201-03.00", WMS용마재고!$L:$L)</f>
        <v>38</v>
      </c>
      <c r="BA193" s="336">
        <f>SUMIF(WMS용마재고!$A:$A,"S201-03.25", WMS용마재고!$L:$L)</f>
        <v>33</v>
      </c>
      <c r="BB193" s="336">
        <f>SUMIF(WMS용마재고!$A:$A,"S201-03.50", WMS용마재고!$L:$L)</f>
        <v>110</v>
      </c>
      <c r="BC193" s="336">
        <f>SUMIF(WMS용마재고!$A:$A,"S201-03.75", WMS용마재고!$L:$L)</f>
        <v>149</v>
      </c>
      <c r="BD193" s="336">
        <f>SUMIF(WMS용마재고!$A:$A,"S201-04.00", WMS용마재고!$L:$L)</f>
        <v>137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57</v>
      </c>
      <c r="BZ193" s="192">
        <v>97</v>
      </c>
      <c r="CA193" s="192">
        <v>0</v>
      </c>
      <c r="CB193" s="192">
        <v>30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71</v>
      </c>
      <c r="CI193" s="192">
        <v>83</v>
      </c>
      <c r="CJ193" s="192">
        <v>38</v>
      </c>
      <c r="CK193" s="192">
        <v>33</v>
      </c>
      <c r="CL193" s="192">
        <v>110</v>
      </c>
      <c r="CM193" s="192">
        <v>149</v>
      </c>
      <c r="CN193" s="192">
        <v>137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77</v>
      </c>
      <c r="L194" s="164">
        <f>SUMIF(WMS용마재고!$A:$A,"S202-02.50", WMS용마재고!$L:$L)</f>
        <v>133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27</v>
      </c>
      <c r="S194" s="164">
        <f>SUMIF(WMS용마재고!$A:$A,"S202-04.25", WMS용마재고!$L:$L)</f>
        <v>62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79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77</v>
      </c>
      <c r="AX194" s="191">
        <f>SUMIF(WMS용마재고!$A:$A,"S202-02.50", WMS용마재고!$L:$L)</f>
        <v>133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27</v>
      </c>
      <c r="BE194" s="191">
        <f>SUMIF(WMS용마재고!$A:$A,"S202-04.25", WMS용마재고!$L:$L)</f>
        <v>62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79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33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77</v>
      </c>
      <c r="CH194" s="192">
        <v>133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27</v>
      </c>
      <c r="CO194" s="192">
        <v>62</v>
      </c>
      <c r="CP194" s="192">
        <v>40</v>
      </c>
      <c r="CQ194" s="193">
        <v>37</v>
      </c>
      <c r="CR194" s="193">
        <v>79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70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61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11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70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61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11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70</v>
      </c>
      <c r="BZ195" s="192">
        <v>47</v>
      </c>
      <c r="CA195" s="192">
        <v>109</v>
      </c>
      <c r="CB195" s="192">
        <v>55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37</v>
      </c>
      <c r="CI195" s="192">
        <v>0</v>
      </c>
      <c r="CJ195" s="192">
        <v>107</v>
      </c>
      <c r="CK195" s="192">
        <v>26</v>
      </c>
      <c r="CL195" s="192">
        <v>33</v>
      </c>
      <c r="CM195" s="192">
        <v>72</v>
      </c>
      <c r="CN195" s="192">
        <v>110</v>
      </c>
      <c r="CO195" s="192">
        <v>61</v>
      </c>
      <c r="CP195" s="192">
        <v>95</v>
      </c>
      <c r="CQ195" s="193">
        <v>72</v>
      </c>
      <c r="CR195" s="193">
        <v>110</v>
      </c>
      <c r="CS195" s="193">
        <v>157</v>
      </c>
      <c r="CT195" s="193">
        <v>11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40</v>
      </c>
      <c r="D196" s="164">
        <f>SUMIF(WMS용마재고!$A:$A,"S208-00.50", WMS용마재고!$L:$L)</f>
        <v>29</v>
      </c>
      <c r="E196" s="164">
        <f>SUMIF(WMS용마재고!$A:$A,"S208-00.75", WMS용마재고!$L:$L)</f>
        <v>32</v>
      </c>
      <c r="F196" s="164">
        <f>SUMIF(WMS용마재고!$A:$A,"S208-01.00", WMS용마재고!$L:$L)</f>
        <v>108</v>
      </c>
      <c r="G196" s="164">
        <f>SUMIF(WMS용마재고!$A:$A,"S208-01.25", WMS용마재고!$L:$L)</f>
        <v>86</v>
      </c>
      <c r="H196" s="164">
        <f>SUMIF(WMS용마재고!$A:$A,"S208-01.50", WMS용마재고!$L:$L)</f>
        <v>27</v>
      </c>
      <c r="I196" s="164">
        <f>SUMIF(WMS용마재고!$A:$A,"S208-01.75", WMS용마재고!$L:$L)</f>
        <v>32</v>
      </c>
      <c r="J196" s="164">
        <f>SUMIF(WMS용마재고!$A:$A,"S208-02.00", WMS용마재고!$L:$L)</f>
        <v>90</v>
      </c>
      <c r="K196" s="164">
        <f>SUMIF(WMS용마재고!$A:$A,"S208-02.25", WMS용마재고!$L:$L)</f>
        <v>69</v>
      </c>
      <c r="L196" s="164">
        <f>SUMIF(WMS용마재고!$A:$A,"S208-02.50", WMS용마재고!$L:$L)</f>
        <v>68</v>
      </c>
      <c r="M196" s="164">
        <f>SUMIF(WMS용마재고!$A:$A,"S208-02.75", WMS용마재고!$L:$L)</f>
        <v>0</v>
      </c>
      <c r="N196" s="164">
        <f>SUMIF(WMS용마재고!$A:$A,"S208-03.00", WMS용마재고!$L:$L)</f>
        <v>22</v>
      </c>
      <c r="O196" s="164">
        <f>SUMIF(WMS용마재고!$A:$A,"S208-03.25", WMS용마재고!$L:$L)</f>
        <v>47</v>
      </c>
      <c r="P196" s="164">
        <f>SUMIF(WMS용마재고!$A:$A,"S208-03.50", WMS용마재고!$L:$L)</f>
        <v>47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79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138</v>
      </c>
      <c r="W196" s="164">
        <f>SUMIF(WMS용마재고!$A:$A,"S208-05.25", WMS용마재고!$L:$L)</f>
        <v>24</v>
      </c>
      <c r="X196" s="164">
        <f>SUMIF(WMS용마재고!$A:$A,"S208-05.50", WMS용마재고!$L:$L)</f>
        <v>41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42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40</v>
      </c>
      <c r="AP196" s="191">
        <f>SUMIF(WMS용마재고!$A:$A,"S208-00.50", WMS용마재고!$L:$L)</f>
        <v>29</v>
      </c>
      <c r="AQ196" s="191">
        <f>SUMIF(WMS용마재고!$A:$A,"S208-00.75", WMS용마재고!$L:$L)</f>
        <v>32</v>
      </c>
      <c r="AR196" s="191">
        <f>SUMIF(WMS용마재고!$A:$A,"S208-01.00", WMS용마재고!$L:$L)</f>
        <v>108</v>
      </c>
      <c r="AS196" s="191">
        <f>SUMIF(WMS용마재고!$A:$A,"S208-01.25", WMS용마재고!$L:$L)</f>
        <v>86</v>
      </c>
      <c r="AT196" s="191">
        <f>SUMIF(WMS용마재고!$A:$A,"S208-01.50", WMS용마재고!$L:$L)</f>
        <v>27</v>
      </c>
      <c r="AU196" s="191">
        <f>SUMIF(WMS용마재고!$A:$A,"S208-01.75", WMS용마재고!$L:$L)</f>
        <v>32</v>
      </c>
      <c r="AV196" s="191">
        <f>SUMIF(WMS용마재고!$A:$A,"S208-02.00", WMS용마재고!$L:$L)</f>
        <v>90</v>
      </c>
      <c r="AW196" s="191">
        <f>SUMIF(WMS용마재고!$A:$A,"S208-02.25", WMS용마재고!$L:$L)</f>
        <v>69</v>
      </c>
      <c r="AX196" s="191">
        <f>SUMIF(WMS용마재고!$A:$A,"S208-02.50", WMS용마재고!$L:$L)</f>
        <v>68</v>
      </c>
      <c r="AY196" s="191">
        <f>SUMIF(WMS용마재고!$A:$A,"S208-02.75", WMS용마재고!$L:$L)</f>
        <v>0</v>
      </c>
      <c r="AZ196" s="191">
        <f>SUMIF(WMS용마재고!$A:$A,"S208-03.00", WMS용마재고!$L:$L)</f>
        <v>22</v>
      </c>
      <c r="BA196" s="191">
        <f>SUMIF(WMS용마재고!$A:$A,"S208-03.25", WMS용마재고!$L:$L)</f>
        <v>47</v>
      </c>
      <c r="BB196" s="191">
        <f>SUMIF(WMS용마재고!$A:$A,"S208-03.50", WMS용마재고!$L:$L)</f>
        <v>47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79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138</v>
      </c>
      <c r="BI196" s="191">
        <f>SUMIF(WMS용마재고!$A:$A,"S208-05.25", WMS용마재고!$L:$L)</f>
        <v>24</v>
      </c>
      <c r="BJ196" s="191">
        <f>SUMIF(WMS용마재고!$A:$A,"S208-05.50", WMS용마재고!$L:$L)</f>
        <v>41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42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40</v>
      </c>
      <c r="BZ196" s="192">
        <v>29</v>
      </c>
      <c r="CA196" s="192">
        <v>32</v>
      </c>
      <c r="CB196" s="192">
        <v>108</v>
      </c>
      <c r="CC196" s="192">
        <v>86</v>
      </c>
      <c r="CD196" s="192">
        <v>27</v>
      </c>
      <c r="CE196" s="192">
        <v>32</v>
      </c>
      <c r="CF196" s="192">
        <v>90</v>
      </c>
      <c r="CG196" s="192">
        <v>69</v>
      </c>
      <c r="CH196" s="192">
        <v>68</v>
      </c>
      <c r="CI196" s="192">
        <v>0</v>
      </c>
      <c r="CJ196" s="192">
        <v>22</v>
      </c>
      <c r="CK196" s="192">
        <v>47</v>
      </c>
      <c r="CL196" s="192">
        <v>47</v>
      </c>
      <c r="CM196" s="192">
        <v>34</v>
      </c>
      <c r="CN196" s="192">
        <v>21</v>
      </c>
      <c r="CO196" s="192">
        <v>79</v>
      </c>
      <c r="CP196" s="192">
        <v>134</v>
      </c>
      <c r="CQ196" s="193">
        <v>123</v>
      </c>
      <c r="CR196" s="193">
        <v>138</v>
      </c>
      <c r="CS196" s="193">
        <v>24</v>
      </c>
      <c r="CT196" s="193">
        <v>41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42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44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110</v>
      </c>
      <c r="I197" s="164">
        <f>SUMIF(WMS용마재고!$A:$A,"S210-01.75", WMS용마재고!$L:$L)</f>
        <v>13</v>
      </c>
      <c r="J197" s="164">
        <f>SUMIF(WMS용마재고!$A:$A,"S210-02.00", WMS용마재고!$L:$L)</f>
        <v>59</v>
      </c>
      <c r="K197" s="164">
        <f>SUMIF(WMS용마재고!$A:$A,"S210-02.25", WMS용마재고!$L:$L)</f>
        <v>86</v>
      </c>
      <c r="L197" s="164">
        <f>SUMIF(WMS용마재고!$A:$A,"S210-02.50", WMS용마재고!$L:$L)</f>
        <v>143</v>
      </c>
      <c r="M197" s="164">
        <f>SUMIF(WMS용마재고!$A:$A,"S210-02.75", WMS용마재고!$L:$L)</f>
        <v>42</v>
      </c>
      <c r="N197" s="164">
        <f>SUMIF(WMS용마재고!$A:$A,"S210-03.00", WMS용마재고!$L:$L)</f>
        <v>45</v>
      </c>
      <c r="O197" s="164">
        <f>SUMIF(WMS용마재고!$A:$A,"S210-03.25", WMS용마재고!$L:$L)</f>
        <v>33</v>
      </c>
      <c r="P197" s="164">
        <f>SUMIF(WMS용마재고!$A:$A,"S210-03.50", WMS용마재고!$L:$L)</f>
        <v>69</v>
      </c>
      <c r="Q197" s="164">
        <f>SUMIF(WMS용마재고!$A:$A,"S210-03.75", WMS용마재고!$L:$L)</f>
        <v>51</v>
      </c>
      <c r="R197" s="164">
        <f>SUMIF(WMS용마재고!$A:$A,"S210-04.00", WMS용마재고!$L:$L)</f>
        <v>35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51</v>
      </c>
      <c r="W197" s="164">
        <f>SUMIF(WMS용마재고!$A:$A,"S210-05.25", WMS용마재고!$L:$L)</f>
        <v>119</v>
      </c>
      <c r="X197" s="164">
        <f>SUMIF(WMS용마재고!$A:$A,"S210-05.50", WMS용마재고!$L:$L)</f>
        <v>33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103</v>
      </c>
      <c r="AB197" s="164">
        <f>SUMIF(WMS용마재고!$A:$A,"S210-07.00", WMS용마재고!$L:$L)</f>
        <v>25</v>
      </c>
      <c r="AC197" s="164">
        <f>SUMIF(WMS용마재고!$A:$A,"S210-07.50", WMS용마재고!$L:$L)</f>
        <v>35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44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110</v>
      </c>
      <c r="AU197" s="191">
        <f>SUMIF(WMS용마재고!$A:$A,"S210-01.75", WMS용마재고!$L:$L)</f>
        <v>13</v>
      </c>
      <c r="AV197" s="191">
        <f>SUMIF(WMS용마재고!$A:$A,"S210-02.00", WMS용마재고!$L:$L)</f>
        <v>59</v>
      </c>
      <c r="AW197" s="191">
        <f>SUMIF(WMS용마재고!$A:$A,"S210-02.25", WMS용마재고!$L:$L)</f>
        <v>86</v>
      </c>
      <c r="AX197" s="191">
        <f>SUMIF(WMS용마재고!$A:$A,"S210-02.50", WMS용마재고!$L:$L)</f>
        <v>143</v>
      </c>
      <c r="AY197" s="191">
        <f>SUMIF(WMS용마재고!$A:$A,"S210-02.75", WMS용마재고!$L:$L)</f>
        <v>42</v>
      </c>
      <c r="AZ197" s="191">
        <f>SUMIF(WMS용마재고!$A:$A,"S210-03.00", WMS용마재고!$L:$L)</f>
        <v>45</v>
      </c>
      <c r="BA197" s="191">
        <f>SUMIF(WMS용마재고!$A:$A,"S210-03.25", WMS용마재고!$L:$L)</f>
        <v>33</v>
      </c>
      <c r="BB197" s="191">
        <f>SUMIF(WMS용마재고!$A:$A,"S210-03.50", WMS용마재고!$L:$L)</f>
        <v>69</v>
      </c>
      <c r="BC197" s="191">
        <f>SUMIF(WMS용마재고!$A:$A,"S210-03.75", WMS용마재고!$L:$L)</f>
        <v>51</v>
      </c>
      <c r="BD197" s="191">
        <f>SUMIF(WMS용마재고!$A:$A,"S210-04.00", WMS용마재고!$L:$L)</f>
        <v>35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51</v>
      </c>
      <c r="BI197" s="191">
        <f>SUMIF(WMS용마재고!$A:$A,"S210-05.25", WMS용마재고!$L:$L)</f>
        <v>119</v>
      </c>
      <c r="BJ197" s="191">
        <f>SUMIF(WMS용마재고!$A:$A,"S210-05.50", WMS용마재고!$L:$L)</f>
        <v>33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103</v>
      </c>
      <c r="BN197" s="191">
        <f>SUMIF(WMS용마재고!$A:$A,"S210-07.00", WMS용마재고!$L:$L)</f>
        <v>25</v>
      </c>
      <c r="BO197" s="191">
        <f>SUMIF(WMS용마재고!$A:$A,"S210-07.50", WMS용마재고!$L:$L)</f>
        <v>35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44</v>
      </c>
      <c r="BZ197" s="192">
        <v>108</v>
      </c>
      <c r="CA197" s="192">
        <v>19</v>
      </c>
      <c r="CB197" s="192">
        <v>47</v>
      </c>
      <c r="CC197" s="192">
        <v>67</v>
      </c>
      <c r="CD197" s="192">
        <v>110</v>
      </c>
      <c r="CE197" s="192">
        <v>13</v>
      </c>
      <c r="CF197" s="192">
        <v>59</v>
      </c>
      <c r="CG197" s="192">
        <v>86</v>
      </c>
      <c r="CH197" s="192">
        <v>143</v>
      </c>
      <c r="CI197" s="192">
        <v>42</v>
      </c>
      <c r="CJ197" s="192">
        <v>45</v>
      </c>
      <c r="CK197" s="192">
        <v>33</v>
      </c>
      <c r="CL197" s="192">
        <v>69</v>
      </c>
      <c r="CM197" s="192">
        <v>51</v>
      </c>
      <c r="CN197" s="192">
        <v>35</v>
      </c>
      <c r="CO197" s="192">
        <v>105</v>
      </c>
      <c r="CP197" s="192">
        <v>31</v>
      </c>
      <c r="CQ197" s="193">
        <v>32</v>
      </c>
      <c r="CR197" s="193">
        <v>51</v>
      </c>
      <c r="CS197" s="193">
        <v>119</v>
      </c>
      <c r="CT197" s="193">
        <v>33</v>
      </c>
      <c r="CU197" s="193">
        <v>109</v>
      </c>
      <c r="CV197" s="193">
        <v>70</v>
      </c>
      <c r="CW197" s="193">
        <v>103</v>
      </c>
      <c r="CX197" s="193">
        <v>25</v>
      </c>
      <c r="CY197" s="193">
        <v>35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150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47</v>
      </c>
      <c r="J198" s="164">
        <f>SUMIF(WMS용마재고!$A:$A,"S301-02.00", WMS용마재고!$L:$L)</f>
        <v>101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39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150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47</v>
      </c>
      <c r="AV198" s="191">
        <f>SUMIF(WMS용마재고!$A:$A,"S301-02.00", WMS용마재고!$L:$L)</f>
        <v>101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39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150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47</v>
      </c>
      <c r="CF198" s="192">
        <v>101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39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146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51</v>
      </c>
      <c r="K199" s="164">
        <f>SUMIF(WMS용마재고!$A:$A,"S302-02.25", WMS용마재고!$L:$L)</f>
        <v>35</v>
      </c>
      <c r="L199" s="164">
        <f>SUMIF(WMS용마재고!$A:$A,"S302-02.50", WMS용마재고!$L:$L)</f>
        <v>9</v>
      </c>
      <c r="M199" s="164">
        <f>SUMIF(WMS용마재고!$A:$A,"S302-02.75", WMS용마재고!$L:$L)</f>
        <v>39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146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51</v>
      </c>
      <c r="AW199" s="191">
        <f>SUMIF(WMS용마재고!$A:$A,"S302-02.25", WMS용마재고!$L:$L)</f>
        <v>35</v>
      </c>
      <c r="AX199" s="191">
        <f>SUMIF(WMS용마재고!$A:$A,"S302-02.50", WMS용마재고!$L:$L)</f>
        <v>9</v>
      </c>
      <c r="AY199" s="191">
        <f>SUMIF(WMS용마재고!$A:$A,"S302-02.75", WMS용마재고!$L:$L)</f>
        <v>39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28</v>
      </c>
      <c r="CA199" s="192">
        <v>23</v>
      </c>
      <c r="CB199" s="192">
        <v>146</v>
      </c>
      <c r="CC199" s="192">
        <v>41</v>
      </c>
      <c r="CD199" s="192">
        <v>56</v>
      </c>
      <c r="CE199" s="192">
        <v>43</v>
      </c>
      <c r="CF199" s="192">
        <v>51</v>
      </c>
      <c r="CG199" s="192">
        <v>35</v>
      </c>
      <c r="CH199" s="192">
        <v>9</v>
      </c>
      <c r="CI199" s="192">
        <v>39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49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99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51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41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49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99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51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41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49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99</v>
      </c>
      <c r="CF200" s="192">
        <v>78</v>
      </c>
      <c r="CG200" s="192">
        <v>84</v>
      </c>
      <c r="CH200" s="192">
        <v>51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41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3" t="s">
        <v>5042</v>
      </c>
      <c r="B202" s="544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76</v>
      </c>
      <c r="E204" s="164">
        <f>SUMIF(WMS용마재고!$A:$A,"s137-00.75", WMS용마재고!$L:$L)</f>
        <v>519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673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76</v>
      </c>
      <c r="AQ204" s="338">
        <f>SUMIF(WMS용마재고!$A:$A,"s137-00.75", WMS용마재고!$L:$L)</f>
        <v>519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673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76</v>
      </c>
      <c r="CA204" s="192">
        <v>519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673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2" t="s">
        <v>2923</v>
      </c>
      <c r="B205" s="542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3" t="s">
        <v>5241</v>
      </c>
      <c r="B206" s="544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5483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5242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666</v>
      </c>
      <c r="CN207" s="192">
        <v>612</v>
      </c>
      <c r="CO207" s="192">
        <v>718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5484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5243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5485</v>
      </c>
      <c r="C209" s="162"/>
      <c r="D209" s="162"/>
      <c r="E209" s="162"/>
      <c r="F209" s="164">
        <f>SUMIF(WMS용마재고!$A:$A,"S422A-01.00-1.75180", WMS용마재고!$L:$L)</f>
        <v>533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495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490</v>
      </c>
      <c r="W209" s="162"/>
      <c r="X209" s="164">
        <f>SUMIF(WMS용마재고!$A:$A,"S422A-05.50-1.75180", WMS용마재고!$L:$L)</f>
        <v>498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544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5244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533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495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490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498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544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533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495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490</v>
      </c>
      <c r="CS209" s="192">
        <v>0</v>
      </c>
      <c r="CT209" s="192">
        <v>498</v>
      </c>
      <c r="CU209" s="192">
        <v>0</v>
      </c>
      <c r="CV209" s="192">
        <v>499</v>
      </c>
      <c r="CW209" s="192">
        <v>502</v>
      </c>
      <c r="CX209" s="192">
        <v>544</v>
      </c>
      <c r="CY209" s="192">
        <v>545</v>
      </c>
      <c r="CZ209" s="192">
        <v>546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5486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5468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5487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5469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5488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5470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5489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5471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5490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5472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5491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5473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5492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5474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5493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5475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5494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5476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5495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5477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5496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5478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5497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5479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5498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5480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49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5499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5481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5500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5482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7727</v>
      </c>
      <c r="B226" s="178"/>
    </row>
    <row r="227" spans="1:184">
      <c r="A227" s="542" t="s">
        <v>2923</v>
      </c>
      <c r="B227" s="542"/>
      <c r="C227" s="155" t="s">
        <v>7661</v>
      </c>
      <c r="D227" s="155" t="s">
        <v>7662</v>
      </c>
      <c r="E227" s="155" t="s">
        <v>7663</v>
      </c>
      <c r="F227" s="155" t="s">
        <v>7664</v>
      </c>
      <c r="G227" s="155" t="s">
        <v>7665</v>
      </c>
      <c r="H227" s="155" t="s">
        <v>7666</v>
      </c>
      <c r="I227" s="155" t="s">
        <v>7667</v>
      </c>
      <c r="J227" s="155" t="s">
        <v>7668</v>
      </c>
      <c r="K227" s="155" t="s">
        <v>7669</v>
      </c>
      <c r="L227" s="155" t="s">
        <v>7670</v>
      </c>
      <c r="M227" s="155" t="s">
        <v>7671</v>
      </c>
      <c r="N227" s="155" t="s">
        <v>7672</v>
      </c>
      <c r="O227" s="155" t="s">
        <v>7673</v>
      </c>
      <c r="P227" s="155" t="s">
        <v>7674</v>
      </c>
      <c r="Q227" s="155" t="s">
        <v>7675</v>
      </c>
      <c r="R227" s="155" t="s">
        <v>7676</v>
      </c>
      <c r="S227" s="524" t="s">
        <v>7677</v>
      </c>
      <c r="T227" s="524" t="s">
        <v>7678</v>
      </c>
      <c r="U227" s="524" t="s">
        <v>7679</v>
      </c>
      <c r="V227" s="524" t="s">
        <v>7680</v>
      </c>
      <c r="W227" s="524" t="s">
        <v>7681</v>
      </c>
      <c r="X227" s="524" t="s">
        <v>7682</v>
      </c>
      <c r="Y227" s="524" t="s">
        <v>7683</v>
      </c>
      <c r="Z227" s="524" t="s">
        <v>7684</v>
      </c>
      <c r="AA227" s="524" t="s">
        <v>7685</v>
      </c>
      <c r="AB227" s="524" t="s">
        <v>7686</v>
      </c>
      <c r="AC227" s="524" t="s">
        <v>7687</v>
      </c>
      <c r="AD227" s="524" t="s">
        <v>7688</v>
      </c>
      <c r="AE227" s="524" t="s">
        <v>7690</v>
      </c>
      <c r="AF227" s="524" t="s">
        <v>7689</v>
      </c>
      <c r="AG227" s="524" t="s">
        <v>7691</v>
      </c>
      <c r="AH227" s="524" t="s">
        <v>7692</v>
      </c>
      <c r="AI227" s="525" t="s">
        <v>7693</v>
      </c>
      <c r="AJ227" s="525" t="s">
        <v>7694</v>
      </c>
      <c r="AK227" s="525" t="s">
        <v>7695</v>
      </c>
      <c r="AL227" s="525" t="s">
        <v>7696</v>
      </c>
    </row>
    <row r="228" spans="1:184" s="1" customFormat="1" ht="12.75" customHeight="1">
      <c r="A228" s="174" t="s">
        <v>7726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80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80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80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24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2" t="s">
        <v>2923</v>
      </c>
      <c r="B230" s="542"/>
      <c r="C230" s="524" t="s">
        <v>7697</v>
      </c>
      <c r="D230" s="524" t="s">
        <v>7698</v>
      </c>
      <c r="E230" s="524" t="s">
        <v>7699</v>
      </c>
      <c r="F230" s="524" t="s">
        <v>7700</v>
      </c>
      <c r="G230" s="524" t="s">
        <v>7701</v>
      </c>
      <c r="H230" s="524" t="s">
        <v>7702</v>
      </c>
      <c r="I230" s="524" t="s">
        <v>7703</v>
      </c>
      <c r="J230" s="524" t="s">
        <v>7704</v>
      </c>
      <c r="K230" s="524" t="s">
        <v>7705</v>
      </c>
      <c r="L230" s="524" t="s">
        <v>7706</v>
      </c>
      <c r="M230" s="524" t="s">
        <v>7707</v>
      </c>
      <c r="N230" s="524" t="s">
        <v>7708</v>
      </c>
      <c r="O230" s="524" t="s">
        <v>7709</v>
      </c>
      <c r="P230" s="524" t="s">
        <v>7710</v>
      </c>
      <c r="Q230" s="524" t="s">
        <v>7711</v>
      </c>
      <c r="R230" s="524" t="s">
        <v>7712</v>
      </c>
      <c r="S230" s="525" t="s">
        <v>7713</v>
      </c>
      <c r="T230" s="525" t="s">
        <v>7714</v>
      </c>
      <c r="U230" s="525" t="s">
        <v>7715</v>
      </c>
      <c r="V230" s="525" t="s">
        <v>7716</v>
      </c>
      <c r="W230" s="524" t="s">
        <v>7717</v>
      </c>
      <c r="X230" s="524" t="s">
        <v>7718</v>
      </c>
      <c r="Y230" s="524" t="s">
        <v>7719</v>
      </c>
      <c r="Z230" s="524" t="s">
        <v>7720</v>
      </c>
      <c r="AA230" s="524" t="s">
        <v>7721</v>
      </c>
      <c r="AB230" s="525" t="s">
        <v>7722</v>
      </c>
      <c r="AC230" s="525" t="s">
        <v>7723</v>
      </c>
      <c r="AD230" s="525" t="s">
        <v>7724</v>
      </c>
      <c r="AE230" s="525" t="s">
        <v>7725</v>
      </c>
    </row>
    <row r="231" spans="1:184">
      <c r="A231" s="174" t="s">
        <v>7726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130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130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108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130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23" priority="23">
      <formula>ES3="경고"</formula>
    </cfRule>
    <cfRule type="expression" dxfId="722" priority="24">
      <formula>DI3="증가"</formula>
    </cfRule>
    <cfRule type="expression" dxfId="721" priority="25">
      <formula>C3&lt;30</formula>
    </cfRule>
    <cfRule type="cellIs" dxfId="720" priority="26" operator="lessThan">
      <formula>6</formula>
    </cfRule>
  </conditionalFormatting>
  <conditionalFormatting sqref="C8:C11 F8:V11 X8:X11 Z8:AD11">
    <cfRule type="expression" dxfId="719" priority="17">
      <formula>C8&lt;30</formula>
    </cfRule>
    <cfRule type="expression" dxfId="718" priority="15">
      <formula>ES8="경고"</formula>
    </cfRule>
    <cfRule type="expression" dxfId="717" priority="16">
      <formula>DI8="증가"</formula>
    </cfRule>
    <cfRule type="cellIs" dxfId="716" priority="18" operator="lessThan">
      <formula>6</formula>
    </cfRule>
  </conditionalFormatting>
  <conditionalFormatting sqref="C13:C16 F13:V16 X13:X16 Z13:AD16">
    <cfRule type="expression" dxfId="715" priority="2">
      <formula>DI13="증가"</formula>
    </cfRule>
    <cfRule type="expression" dxfId="714" priority="3">
      <formula>C13&lt;30</formula>
    </cfRule>
    <cfRule type="cellIs" dxfId="713" priority="4" operator="lessThan">
      <formula>6</formula>
    </cfRule>
    <cfRule type="expression" dxfId="712" priority="1">
      <formula>ES13="경고"</formula>
    </cfRule>
  </conditionalFormatting>
  <conditionalFormatting sqref="C108:C111 E108:V111 X108:X111 Z108:AD111">
    <cfRule type="expression" dxfId="711" priority="453">
      <formula>ES108="경고"</formula>
    </cfRule>
    <cfRule type="expression" dxfId="710" priority="469">
      <formula>C108&lt;20</formula>
    </cfRule>
    <cfRule type="expression" dxfId="709" priority="468">
      <formula>DI108="증가"</formula>
    </cfRule>
  </conditionalFormatting>
  <conditionalFormatting sqref="C118:D130">
    <cfRule type="expression" dxfId="708" priority="85">
      <formula>DI118="증가"</formula>
    </cfRule>
    <cfRule type="expression" dxfId="707" priority="84">
      <formula>ES118="경고"</formula>
    </cfRule>
    <cfRule type="expression" dxfId="706" priority="86">
      <formula>C118&lt;30</formula>
    </cfRule>
  </conditionalFormatting>
  <conditionalFormatting sqref="C132:D135 F132:V135 X132:X135 Z132:AD135">
    <cfRule type="expression" dxfId="705" priority="366">
      <formula>ES132="경고"</formula>
    </cfRule>
    <cfRule type="expression" dxfId="704" priority="367">
      <formula>DI132="증가"</formula>
    </cfRule>
    <cfRule type="expression" dxfId="703" priority="368">
      <formula>C132&lt;30</formula>
    </cfRule>
  </conditionalFormatting>
  <conditionalFormatting sqref="C144:E188">
    <cfRule type="expression" dxfId="702" priority="147">
      <formula>C144&lt;10</formula>
    </cfRule>
  </conditionalFormatting>
  <conditionalFormatting sqref="C231:K231">
    <cfRule type="cellIs" dxfId="701" priority="41" operator="lessThan">
      <formula>15</formula>
    </cfRule>
  </conditionalFormatting>
  <conditionalFormatting sqref="C228:R228 C139:AL139">
    <cfRule type="expression" dxfId="700" priority="429">
      <formula>ES139="경고"</formula>
    </cfRule>
  </conditionalFormatting>
  <conditionalFormatting sqref="C40:V44 X40:X44 Z40:AH44">
    <cfRule type="expression" dxfId="699" priority="573">
      <formula>DI40="증가"</formula>
    </cfRule>
    <cfRule type="expression" dxfId="698" priority="572">
      <formula>ES40="경고"</formula>
    </cfRule>
  </conditionalFormatting>
  <conditionalFormatting sqref="C46:V48 X46:X48 Z46:AH48">
    <cfRule type="expression" dxfId="697" priority="77">
      <formula>ES46="경고"</formula>
    </cfRule>
    <cfRule type="expression" dxfId="696" priority="79">
      <formula>C46&lt;30</formula>
    </cfRule>
    <cfRule type="cellIs" dxfId="695" priority="80" operator="lessThan">
      <formula>6</formula>
    </cfRule>
    <cfRule type="expression" dxfId="694" priority="78">
      <formula>DI46="증가"</formula>
    </cfRule>
  </conditionalFormatting>
  <conditionalFormatting sqref="C56:V61 Z57:AF61">
    <cfRule type="expression" dxfId="693" priority="500">
      <formula>ES56="경고"</formula>
    </cfRule>
    <cfRule type="expression" dxfId="692" priority="571">
      <formula>DI56="증가"</formula>
    </cfRule>
  </conditionalFormatting>
  <conditionalFormatting sqref="C89:AB97">
    <cfRule type="expression" dxfId="691" priority="409">
      <formula>ES89="경고"</formula>
    </cfRule>
    <cfRule type="expression" dxfId="690" priority="433">
      <formula>DI89="증가"</formula>
    </cfRule>
    <cfRule type="expression" dxfId="689" priority="434">
      <formula>C89&lt;30</formula>
    </cfRule>
  </conditionalFormatting>
  <conditionalFormatting sqref="C230:AE230">
    <cfRule type="expression" dxfId="688" priority="58">
      <formula>#REF!="증가"</formula>
    </cfRule>
    <cfRule type="expression" dxfId="687" priority="59">
      <formula>#REF!="경고"</formula>
    </cfRule>
    <cfRule type="expression" dxfId="686" priority="60">
      <formula>#REF!&lt;30</formula>
    </cfRule>
  </conditionalFormatting>
  <conditionalFormatting sqref="C231:AE231">
    <cfRule type="expression" dxfId="685" priority="37">
      <formula>C231&lt;10</formula>
    </cfRule>
    <cfRule type="expression" dxfId="684" priority="36">
      <formula>DI231="증가"</formula>
    </cfRule>
    <cfRule type="expression" dxfId="683" priority="35">
      <formula>ES231="경고"</formula>
    </cfRule>
  </conditionalFormatting>
  <conditionalFormatting sqref="C82:AF86">
    <cfRule type="expression" dxfId="682" priority="432">
      <formula>ES82="경고"</formula>
    </cfRule>
    <cfRule type="expression" dxfId="681" priority="437">
      <formula>C82&lt;30</formula>
    </cfRule>
    <cfRule type="expression" dxfId="680" priority="436">
      <formula>DI82="증가"</formula>
    </cfRule>
  </conditionalFormatting>
  <conditionalFormatting sqref="C23:AH23">
    <cfRule type="expression" dxfId="679" priority="461">
      <formula>C23&lt;30</formula>
    </cfRule>
    <cfRule type="expression" dxfId="678" priority="460">
      <formula>DI23="증가"</formula>
    </cfRule>
    <cfRule type="expression" dxfId="677" priority="459">
      <formula>ES23="경고"</formula>
    </cfRule>
  </conditionalFormatting>
  <conditionalFormatting sqref="C25:AH32">
    <cfRule type="expression" dxfId="676" priority="324">
      <formula>DI25="증가"</formula>
    </cfRule>
    <cfRule type="expression" dxfId="675" priority="318">
      <formula>ES25="경고"</formula>
    </cfRule>
    <cfRule type="expression" dxfId="674" priority="325">
      <formula>C25&lt;30</formula>
    </cfRule>
  </conditionalFormatting>
  <conditionalFormatting sqref="C34:AH37">
    <cfRule type="expression" dxfId="673" priority="455">
      <formula>C34&lt;30</formula>
    </cfRule>
    <cfRule type="expression" dxfId="672" priority="454">
      <formula>DI34="증가"</formula>
    </cfRule>
    <cfRule type="expression" dxfId="671" priority="435">
      <formula>ES34="경고"</formula>
    </cfRule>
  </conditionalFormatting>
  <conditionalFormatting sqref="C99:AH101">
    <cfRule type="expression" dxfId="670" priority="462">
      <formula>ES99="경고"</formula>
    </cfRule>
    <cfRule type="expression" dxfId="669" priority="496">
      <formula>C99&lt;30</formula>
    </cfRule>
    <cfRule type="expression" dxfId="668" priority="495">
      <formula>DI99="증가"</formula>
    </cfRule>
  </conditionalFormatting>
  <conditionalFormatting sqref="C103:AH107">
    <cfRule type="expression" dxfId="667" priority="118">
      <formula>C103&lt;20</formula>
    </cfRule>
    <cfRule type="expression" dxfId="666" priority="116">
      <formula>ES103="경고"</formula>
    </cfRule>
    <cfRule type="expression" dxfId="665" priority="117">
      <formula>DI103="증가"</formula>
    </cfRule>
  </conditionalFormatting>
  <conditionalFormatting sqref="C104:AH107">
    <cfRule type="cellIs" dxfId="664" priority="119" operator="lessThan">
      <formula>15</formula>
    </cfRule>
  </conditionalFormatting>
  <conditionalFormatting sqref="C149:AH188">
    <cfRule type="expression" dxfId="663" priority="163">
      <formula>DI149="증가"</formula>
    </cfRule>
    <cfRule type="expression" dxfId="662" priority="162">
      <formula>ES149="경고"</formula>
    </cfRule>
  </conditionalFormatting>
  <conditionalFormatting sqref="C193:AH200">
    <cfRule type="expression" dxfId="661" priority="328">
      <formula>C193&lt;30</formula>
    </cfRule>
    <cfRule type="expression" dxfId="660" priority="323">
      <formula>ES193="경고"</formula>
    </cfRule>
    <cfRule type="expression" dxfId="659" priority="327">
      <formula>DI193="증가"</formula>
    </cfRule>
  </conditionalFormatting>
  <conditionalFormatting sqref="C203:AH204">
    <cfRule type="expression" dxfId="658" priority="493">
      <formula>C203&lt;30</formula>
    </cfRule>
    <cfRule type="expression" dxfId="657" priority="492">
      <formula>DI203="증가"</formula>
    </cfRule>
    <cfRule type="expression" dxfId="656" priority="491">
      <formula>ES203="경고"</formula>
    </cfRule>
  </conditionalFormatting>
  <conditionalFormatting sqref="C1:AL2 Q17:AL17">
    <cfRule type="expression" dxfId="655" priority="2660">
      <formula>#REF!="경고"</formula>
    </cfRule>
    <cfRule type="expression" dxfId="654" priority="2661">
      <formula>#REF!&lt;30</formula>
    </cfRule>
    <cfRule type="expression" dxfId="653" priority="2659">
      <formula>#REF!="증가"</formula>
    </cfRule>
  </conditionalFormatting>
  <conditionalFormatting sqref="C18:AL18 D18:AL19 C40:V44 X40:X44 Z40:AH44 C56:V61 Z57:AF61">
    <cfRule type="expression" dxfId="652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51" priority="748" operator="lessThan">
      <formula>6</formula>
    </cfRule>
  </conditionalFormatting>
  <conditionalFormatting sqref="C18:AL18 F140:AH148 C144:E148">
    <cfRule type="expression" dxfId="650" priority="581">
      <formula>DI18="증가"</formula>
    </cfRule>
  </conditionalFormatting>
  <conditionalFormatting sqref="C38:AL38">
    <cfRule type="expression" dxfId="649" priority="341">
      <formula>#REF!&lt;20</formula>
    </cfRule>
    <cfRule type="expression" dxfId="648" priority="340">
      <formula>#REF!="경고"</formula>
    </cfRule>
    <cfRule type="expression" dxfId="647" priority="339">
      <formula>#REF!="증가"</formula>
    </cfRule>
  </conditionalFormatting>
  <conditionalFormatting sqref="C62:AL62">
    <cfRule type="expression" dxfId="646" priority="14">
      <formula>#REF!&lt;20</formula>
    </cfRule>
    <cfRule type="expression" dxfId="645" priority="13">
      <formula>#REF!="경고"</formula>
    </cfRule>
    <cfRule type="expression" dxfId="644" priority="12">
      <formula>#REF!="증가"</formula>
    </cfRule>
  </conditionalFormatting>
  <conditionalFormatting sqref="C87:AL87">
    <cfRule type="expression" dxfId="643" priority="336">
      <formula>#REF!="증가"</formula>
    </cfRule>
    <cfRule type="expression" dxfId="642" priority="338">
      <formula>#REF!&lt;30</formula>
    </cfRule>
    <cfRule type="expression" dxfId="641" priority="337">
      <formula>#REF!="경고"</formula>
    </cfRule>
  </conditionalFormatting>
  <conditionalFormatting sqref="C112:AL112">
    <cfRule type="expression" dxfId="640" priority="330">
      <formula>#REF!="증가"</formula>
    </cfRule>
    <cfRule type="expression" dxfId="639" priority="332">
      <formula>#REF!&lt;30</formula>
    </cfRule>
    <cfRule type="expression" dxfId="638" priority="331">
      <formula>#REF!="경고"</formula>
    </cfRule>
  </conditionalFormatting>
  <conditionalFormatting sqref="C137:AL137">
    <cfRule type="expression" dxfId="637" priority="335">
      <formula>#REF!&lt;30</formula>
    </cfRule>
    <cfRule type="expression" dxfId="636" priority="334">
      <formula>#REF!="경고"</formula>
    </cfRule>
    <cfRule type="expression" dxfId="635" priority="333">
      <formula>#REF!="증가"</formula>
    </cfRule>
  </conditionalFormatting>
  <conditionalFormatting sqref="C139:AL139 C228:R228">
    <cfRule type="expression" dxfId="634" priority="430">
      <formula>DI139="증가"</formula>
    </cfRule>
    <cfRule type="expression" dxfId="633" priority="431">
      <formula>C139&lt;10</formula>
    </cfRule>
  </conditionalFormatting>
  <conditionalFormatting sqref="C205:AL205">
    <cfRule type="expression" dxfId="632" priority="104">
      <formula>#REF!="증가"</formula>
    </cfRule>
    <cfRule type="expression" dxfId="631" priority="105">
      <formula>#REF!="경고"</formula>
    </cfRule>
    <cfRule type="expression" dxfId="630" priority="106">
      <formula>#REF!&lt;30</formula>
    </cfRule>
  </conditionalFormatting>
  <conditionalFormatting sqref="C227:AL227">
    <cfRule type="expression" dxfId="629" priority="65">
      <formula>#REF!="경고"</formula>
    </cfRule>
    <cfRule type="expression" dxfId="628" priority="66">
      <formula>#REF!&lt;30</formula>
    </cfRule>
    <cfRule type="expression" dxfId="627" priority="64">
      <formula>#REF!="증가"</formula>
    </cfRule>
  </conditionalFormatting>
  <conditionalFormatting sqref="C228:AL228">
    <cfRule type="cellIs" dxfId="626" priority="53" operator="lessThan">
      <formula>15</formula>
    </cfRule>
  </conditionalFormatting>
  <conditionalFormatting sqref="D114:D117">
    <cfRule type="expression" dxfId="625" priority="146">
      <formula>D114&lt;30</formula>
    </cfRule>
    <cfRule type="expression" dxfId="624" priority="144">
      <formula>ET114="경고"</formula>
    </cfRule>
    <cfRule type="expression" dxfId="623" priority="145">
      <formula>DJ114="증가"</formula>
    </cfRule>
  </conditionalFormatting>
  <conditionalFormatting sqref="D20:V22 X20:X22 Z20:AL22">
    <cfRule type="expression" dxfId="622" priority="322">
      <formula>D20&lt;20</formula>
    </cfRule>
    <cfRule type="expression" dxfId="621" priority="321">
      <formula>DJ20="증가"</formula>
    </cfRule>
  </conditionalFormatting>
  <conditionalFormatting sqref="D18:AL19">
    <cfRule type="expression" dxfId="620" priority="580">
      <formula>DJ18="증가"</formula>
    </cfRule>
  </conditionalFormatting>
  <conditionalFormatting sqref="D190:AL191">
    <cfRule type="expression" dxfId="619" priority="473">
      <formula>ET190="경고"</formula>
    </cfRule>
    <cfRule type="expression" dxfId="618" priority="475">
      <formula>D190&lt;30</formula>
    </cfRule>
    <cfRule type="expression" dxfId="617" priority="474">
      <formula>DJ190="증가"</formula>
    </cfRule>
  </conditionalFormatting>
  <conditionalFormatting sqref="E143">
    <cfRule type="expression" dxfId="616" priority="421">
      <formula>DK143="증가"</formula>
    </cfRule>
    <cfRule type="expression" dxfId="615" priority="420">
      <formula>EU143="경고"</formula>
    </cfRule>
    <cfRule type="expression" dxfId="614" priority="422">
      <formula>E143&lt;10</formula>
    </cfRule>
  </conditionalFormatting>
  <conditionalFormatting sqref="F50:V55 Z50:AA56 X50:X61">
    <cfRule type="expression" dxfId="613" priority="316">
      <formula>F50&lt;20</formula>
    </cfRule>
    <cfRule type="expression" dxfId="612" priority="311">
      <formula>EV50="경고"</formula>
    </cfRule>
    <cfRule type="expression" dxfId="611" priority="315">
      <formula>DL50="증가"</formula>
    </cfRule>
  </conditionalFormatting>
  <conditionalFormatting sqref="F64:V78 X64:X78 Z64:AF78">
    <cfRule type="expression" dxfId="610" priority="257">
      <formula>F64&lt;5</formula>
    </cfRule>
    <cfRule type="expression" dxfId="609" priority="256">
      <formula>DL64="증가"</formula>
    </cfRule>
    <cfRule type="expression" dxfId="608" priority="148">
      <formula>EV64="경고"</formula>
    </cfRule>
  </conditionalFormatting>
  <conditionalFormatting sqref="F80:V80">
    <cfRule type="expression" dxfId="607" priority="452">
      <formula>F80&lt;30</formula>
    </cfRule>
  </conditionalFormatting>
  <conditionalFormatting sqref="F80:V81">
    <cfRule type="expression" dxfId="606" priority="451">
      <formula>DL80="증가"</formula>
    </cfRule>
    <cfRule type="expression" dxfId="605" priority="450">
      <formula>EV80="경고"</formula>
    </cfRule>
  </conditionalFormatting>
  <conditionalFormatting sqref="F81:V81">
    <cfRule type="expression" dxfId="604" priority="517">
      <formula>F81&lt;30</formula>
    </cfRule>
  </conditionalFormatting>
  <conditionalFormatting sqref="F114:V130 X114:X130 Z116:AD130">
    <cfRule type="expression" dxfId="603" priority="81">
      <formula>EV114="경고"</formula>
    </cfRule>
    <cfRule type="expression" dxfId="602" priority="82">
      <formula>DL114="증가"</formula>
    </cfRule>
    <cfRule type="expression" dxfId="601" priority="83">
      <formula>F114&lt;30</formula>
    </cfRule>
  </conditionalFormatting>
  <conditionalFormatting sqref="F207:V209 X207:X209 Z207:AF209">
    <cfRule type="cellIs" dxfId="600" priority="111" operator="lessThan">
      <formula>15</formula>
    </cfRule>
    <cfRule type="expression" dxfId="599" priority="110">
      <formula>DL207="증가"</formula>
    </cfRule>
    <cfRule type="expression" dxfId="598" priority="109">
      <formula>EV207="경고"</formula>
    </cfRule>
    <cfRule type="expression" dxfId="597" priority="108">
      <formula>F207&lt;10</formula>
    </cfRule>
  </conditionalFormatting>
  <conditionalFormatting sqref="F210:V225 X210:X225 Z210:AF225">
    <cfRule type="expression" dxfId="596" priority="96">
      <formula>DL210="증가"</formula>
    </cfRule>
    <cfRule type="cellIs" dxfId="595" priority="98" operator="lessThan">
      <formula>6</formula>
    </cfRule>
    <cfRule type="expression" dxfId="594" priority="97">
      <formula>F210&lt;5</formula>
    </cfRule>
    <cfRule type="expression" dxfId="593" priority="95">
      <formula>EV210="경고"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92" priority="583" operator="lessThan">
      <formula>15</formula>
    </cfRule>
  </conditionalFormatting>
  <conditionalFormatting sqref="F140:AH148 C144:E148 C18:AL18 D18:AL19">
    <cfRule type="expression" dxfId="591" priority="518">
      <formula>ES18="경고"</formula>
    </cfRule>
  </conditionalFormatting>
  <conditionalFormatting sqref="F140:AH188">
    <cfRule type="expression" dxfId="590" priority="161">
      <formula>F140&lt;10</formula>
    </cfRule>
  </conditionalFormatting>
  <conditionalFormatting sqref="Q12:AL12">
    <cfRule type="expression" dxfId="589" priority="9">
      <formula>#REF!="증가"</formula>
    </cfRule>
    <cfRule type="expression" dxfId="588" priority="11">
      <formula>#REF!&lt;30</formula>
    </cfRule>
    <cfRule type="expression" dxfId="587" priority="10">
      <formula>#REF!="경고"</formula>
    </cfRule>
  </conditionalFormatting>
  <conditionalFormatting sqref="S228:AL228">
    <cfRule type="expression" dxfId="586" priority="51">
      <formula>DY228="증가"</formula>
    </cfRule>
    <cfRule type="expression" dxfId="585" priority="52">
      <formula>S228&lt;10</formula>
    </cfRule>
    <cfRule type="expression" dxfId="584" priority="50">
      <formula>FI228="경고"</formula>
    </cfRule>
  </conditionalFormatting>
  <conditionalFormatting sqref="X80">
    <cfRule type="expression" dxfId="583" priority="449">
      <formula>X80&lt;30</formula>
    </cfRule>
  </conditionalFormatting>
  <conditionalFormatting sqref="X80:X81">
    <cfRule type="expression" dxfId="582" priority="442">
      <formula>ED80="증가"</formula>
    </cfRule>
    <cfRule type="expression" dxfId="581" priority="441">
      <formula>FN80="경고"</formula>
    </cfRule>
  </conditionalFormatting>
  <conditionalFormatting sqref="X81">
    <cfRule type="expression" dxfId="580" priority="443">
      <formula>X81&lt;30</formula>
    </cfRule>
  </conditionalFormatting>
  <conditionalFormatting sqref="Z80:AH80">
    <cfRule type="expression" dxfId="579" priority="446">
      <formula>Z80&lt;30</formula>
    </cfRule>
  </conditionalFormatting>
  <conditionalFormatting sqref="Z80:AH81">
    <cfRule type="expression" dxfId="578" priority="439">
      <formula>EF80="증가"</formula>
    </cfRule>
    <cfRule type="expression" dxfId="577" priority="438">
      <formula>FP80="경고"</formula>
    </cfRule>
  </conditionalFormatting>
  <conditionalFormatting sqref="Z81:AH81">
    <cfRule type="expression" dxfId="576" priority="440">
      <formula>Z81&lt;30</formula>
    </cfRule>
  </conditionalFormatting>
  <conditionalFormatting sqref="Z114:AH115">
    <cfRule type="expression" dxfId="575" priority="151">
      <formula>Z114&lt;30</formula>
    </cfRule>
    <cfRule type="expression" dxfId="574" priority="149">
      <formula>FP114="경고"</formula>
    </cfRule>
    <cfRule type="expression" dxfId="573" priority="150">
      <formula>EF114="증가"</formula>
    </cfRule>
  </conditionalFormatting>
  <conditionalFormatting sqref="Z20:AL22 D20:V22 X20:X22">
    <cfRule type="expression" dxfId="572" priority="320">
      <formula>ET20="경고"</formula>
    </cfRule>
  </conditionalFormatting>
  <conditionalFormatting sqref="AB50:AB55">
    <cfRule type="expression" dxfId="571" priority="308">
      <formula>AB50&lt;20</formula>
    </cfRule>
    <cfRule type="expression" dxfId="570" priority="307">
      <formula>EH50="증가"</formula>
    </cfRule>
    <cfRule type="expression" dxfId="569" priority="240">
      <formula>FR50="경고"</formula>
    </cfRule>
  </conditionalFormatting>
  <conditionalFormatting sqref="AB56:AF56">
    <cfRule type="expression" dxfId="568" priority="312">
      <formula>FR56="경고"</formula>
    </cfRule>
    <cfRule type="expression" dxfId="567" priority="313">
      <formula>EH56="증가"</formula>
    </cfRule>
    <cfRule type="expression" dxfId="566" priority="314">
      <formula>AB56&lt;30</formula>
    </cfRule>
  </conditionalFormatting>
  <conditionalFormatting sqref="AC92:AF97">
    <cfRule type="expression" dxfId="565" priority="497">
      <formula>FS92="경고"</formula>
    </cfRule>
    <cfRule type="expression" dxfId="564" priority="498">
      <formula>EI92="증가"</formula>
    </cfRule>
    <cfRule type="expression" dxfId="563" priority="499">
      <formula>AC92&lt;30</formula>
    </cfRule>
  </conditionalFormatting>
  <conditionalFormatting sqref="AE116:AH117">
    <cfRule type="expression" dxfId="562" priority="138">
      <formula>FU116="경고"</formula>
    </cfRule>
    <cfRule type="expression" dxfId="561" priority="139">
      <formula>EK116="증가"</formula>
    </cfRule>
    <cfRule type="expression" dxfId="560" priority="140">
      <formula>AE116&lt;30</formula>
    </cfRule>
  </conditionalFormatting>
  <conditionalFormatting sqref="AI103:AL103">
    <cfRule type="expression" dxfId="559" priority="419">
      <formula>AI103&lt;20</formula>
    </cfRule>
    <cfRule type="expression" dxfId="558" priority="418">
      <formula>EO103="증가"</formula>
    </cfRule>
    <cfRule type="expression" dxfId="557" priority="329">
      <formula>FY103="경고"</formula>
    </cfRule>
  </conditionalFormatting>
  <conditionalFormatting sqref="AI203:AL203">
    <cfRule type="expression" dxfId="556" priority="489">
      <formula>EO203="증가"</formula>
    </cfRule>
    <cfRule type="expression" dxfId="555" priority="476">
      <formula>FY203="경고"</formula>
    </cfRule>
    <cfRule type="expression" dxfId="554" priority="490">
      <formula>AI203&lt;30</formula>
    </cfRule>
  </conditionalFormatting>
  <conditionalFormatting sqref="AL20:AL22">
    <cfRule type="expression" dxfId="553" priority="319">
      <formula>ER20="증가"</formula>
    </cfRule>
    <cfRule type="expression" dxfId="552" priority="317">
      <formula>GB20="경고"</formula>
    </cfRule>
  </conditionalFormatting>
  <conditionalFormatting sqref="AO108:AO111 AQ108:BH111 BJ108:BJ111 BL108:BP111">
    <cfRule type="expression" dxfId="551" priority="113">
      <formula>EU108="증가"</formula>
    </cfRule>
    <cfRule type="expression" dxfId="550" priority="114">
      <formula>AO108&lt;20</formula>
    </cfRule>
    <cfRule type="expression" dxfId="549" priority="112">
      <formula>GE108="경고"</formula>
    </cfRule>
    <cfRule type="cellIs" dxfId="548" priority="115" operator="lessThan">
      <formula>15</formula>
    </cfRule>
  </conditionalFormatting>
  <conditionalFormatting sqref="BE231:BX231">
    <cfRule type="expression" dxfId="547" priority="27">
      <formula>GU231="경고"</formula>
    </cfRule>
    <cfRule type="expression" dxfId="546" priority="28">
      <formula>FK231="증가"</formula>
    </cfRule>
    <cfRule type="expression" dxfId="545" priority="29">
      <formula>BE231&lt;10</formula>
    </cfRule>
    <cfRule type="cellIs" dxfId="544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G18" sqref="G18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4" t="s">
        <v>2923</v>
      </c>
      <c r="B1" s="665"/>
      <c r="C1" s="666">
        <f ca="1">TODAY()</f>
        <v>46203</v>
      </c>
      <c r="D1" s="667"/>
      <c r="E1" s="668"/>
      <c r="G1" s="669" t="s">
        <v>2945</v>
      </c>
      <c r="H1" s="670"/>
      <c r="I1" s="670"/>
      <c r="J1" s="671" t="s">
        <v>2957</v>
      </c>
      <c r="K1" s="672"/>
      <c r="L1" s="672"/>
      <c r="M1" s="145" t="s">
        <v>10</v>
      </c>
      <c r="N1" s="673" t="s">
        <v>7795</v>
      </c>
      <c r="O1" s="673"/>
      <c r="P1" s="673"/>
      <c r="Q1" s="673"/>
      <c r="R1" s="673"/>
      <c r="S1" s="673"/>
      <c r="T1" s="674"/>
      <c r="U1" s="11"/>
      <c r="V1" s="675">
        <f ca="1">TODAY()</f>
        <v>46203</v>
      </c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676"/>
      <c r="AH1" s="676"/>
      <c r="AI1" s="676"/>
      <c r="AJ1" s="676"/>
      <c r="AK1" s="676"/>
      <c r="AL1" s="676"/>
      <c r="AM1" s="677"/>
      <c r="AN1" s="662">
        <f ca="1">TODAY()-1</f>
        <v>46202</v>
      </c>
      <c r="AO1" s="662"/>
      <c r="AP1" s="662"/>
      <c r="AQ1" s="662"/>
      <c r="AR1" s="662"/>
      <c r="AS1" s="662"/>
      <c r="AT1" s="662"/>
      <c r="AU1" s="662"/>
      <c r="AV1" s="662"/>
      <c r="AW1" s="662"/>
      <c r="AX1" s="662"/>
      <c r="AY1" s="662"/>
      <c r="AZ1" s="662"/>
      <c r="BA1" s="662"/>
      <c r="BB1" s="662"/>
      <c r="BC1" s="662"/>
      <c r="BD1" s="662"/>
      <c r="BE1" s="663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4">
        <v>1</v>
      </c>
      <c r="B2" s="566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326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131</v>
      </c>
      <c r="AC2" s="258">
        <f>SUMIF(WMS용마재고!$A:$A,"s134-02.00", WMS용마재고!$L:$L)</f>
        <v>174</v>
      </c>
      <c r="AD2" s="257">
        <f>SUMIF(WMS용마재고!$A:$A,"s134-02.25", WMS용마재고!$L:$L)</f>
        <v>273</v>
      </c>
      <c r="AE2" s="260">
        <f>SUMIF(WMS용마재고!$A:$A,"s134-02.50", WMS용마재고!$L:$L)</f>
        <v>288</v>
      </c>
      <c r="AF2" s="260">
        <f>SUMIF(WMS용마재고!$A:$A,"s134-02.75", WMS용마재고!$L:$L)</f>
        <v>187</v>
      </c>
      <c r="AG2" s="257">
        <f>SUMIF(WMS용마재고!$A:$A,"s134-03.00", WMS용마재고!$L:$L)</f>
        <v>166</v>
      </c>
      <c r="AH2" s="260">
        <f>SUMIF(WMS용마재고!$A:$A,"s134-03.25", WMS용마재고!$L:$L)</f>
        <v>241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326</v>
      </c>
      <c r="AQ2" s="5">
        <v>267</v>
      </c>
      <c r="AR2" s="5">
        <v>184</v>
      </c>
      <c r="AS2" s="5">
        <v>203</v>
      </c>
      <c r="AT2" s="5">
        <v>131</v>
      </c>
      <c r="AU2" s="5">
        <v>174</v>
      </c>
      <c r="AV2" s="5">
        <v>273</v>
      </c>
      <c r="AW2" s="5">
        <v>288</v>
      </c>
      <c r="AX2" s="5">
        <v>187</v>
      </c>
      <c r="AY2" s="5">
        <v>166</v>
      </c>
      <c r="AZ2" s="5">
        <v>241</v>
      </c>
      <c r="BA2" s="5">
        <v>307</v>
      </c>
      <c r="BB2" s="5">
        <v>279</v>
      </c>
      <c r="BC2" s="5">
        <v>196</v>
      </c>
      <c r="BD2" s="5">
        <v>347</v>
      </c>
      <c r="BE2" s="6">
        <v>86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5"/>
      <c r="B3" s="567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150</v>
      </c>
      <c r="W3" s="261">
        <f>SUMIF(WMS용마재고!$A:$A,"s134-05.00", WMS용마재고!$L:$L)</f>
        <v>232</v>
      </c>
      <c r="X3" s="333">
        <f>SUMIF(WMS용마재고!$A:$A,"s134-05.25", WMS용마재고!$L:$L)</f>
        <v>101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235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150</v>
      </c>
      <c r="AO3" s="5">
        <v>232</v>
      </c>
      <c r="AP3" s="5">
        <v>101</v>
      </c>
      <c r="AQ3" s="5">
        <v>229</v>
      </c>
      <c r="AR3" s="5">
        <v>213</v>
      </c>
      <c r="AS3" s="5">
        <v>128</v>
      </c>
      <c r="AT3" s="5">
        <v>129</v>
      </c>
      <c r="AU3" s="5">
        <v>221</v>
      </c>
      <c r="AV3" s="5">
        <v>235</v>
      </c>
      <c r="AW3" s="5">
        <v>93</v>
      </c>
      <c r="AX3" s="5">
        <v>304</v>
      </c>
      <c r="AY3" s="5">
        <v>235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1">
        <v>2</v>
      </c>
      <c r="B4" s="609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429</v>
      </c>
      <c r="X4" s="249">
        <f>SUMIF(WMS용마재고!$A:$A,"s030-00.75", WMS용마재고!$L:$L)</f>
        <v>2054</v>
      </c>
      <c r="Y4" s="250">
        <f>SUMIF(WMS용마재고!$A:$A,"s030-01.00", WMS용마재고!$L:$L)</f>
        <v>540</v>
      </c>
      <c r="Z4" s="251">
        <f>SUMIF(WMS용마재고!$A:$A,"s030-01.25", WMS용마재고!$L:$L)</f>
        <v>527</v>
      </c>
      <c r="AA4" s="249">
        <f>SUMIF(WMS용마재고!$A:$A,"s030-01.50", WMS용마재고!$L:$L)</f>
        <v>1076</v>
      </c>
      <c r="AB4" s="249">
        <f>SUMIF(WMS용마재고!$A:$A,"s030-01.75", WMS용마재고!$L:$L)</f>
        <v>890</v>
      </c>
      <c r="AC4" s="250">
        <f>SUMIF(WMS용마재고!$A:$A,"s030-02.00", WMS용마재고!$L:$L)</f>
        <v>779</v>
      </c>
      <c r="AD4" s="248">
        <f>SUMIF(WMS용마재고!$A:$A,"s030-02.25", WMS용마재고!$L:$L)</f>
        <v>1047</v>
      </c>
      <c r="AE4" s="249">
        <f>SUMIF(WMS용마재고!$A:$A,"s030-02.50", WMS용마재고!$L:$L)</f>
        <v>1192</v>
      </c>
      <c r="AF4" s="249">
        <f>SUMIF(WMS용마재고!$A:$A,"s030-02.75", WMS용마재고!$L:$L)</f>
        <v>1165</v>
      </c>
      <c r="AG4" s="248">
        <f>SUMIF(WMS용마재고!$A:$A,"s030-03.00", WMS용마재고!$L:$L)</f>
        <v>1072</v>
      </c>
      <c r="AH4" s="249">
        <f>SUMIF(WMS용마재고!$A:$A,"s030-03.25", WMS용마재고!$L:$L)</f>
        <v>1086</v>
      </c>
      <c r="AI4" s="251">
        <f>SUMIF(WMS용마재고!$A:$A,"s030-03.50", WMS용마재고!$L:$L)</f>
        <v>1229</v>
      </c>
      <c r="AJ4" s="249">
        <f>SUMIF(WMS용마재고!$A:$A,"s030-03.75", WMS용마재고!$L:$L)</f>
        <v>1737</v>
      </c>
      <c r="AK4" s="250">
        <f>SUMIF(WMS용마재고!$A:$A,"s030-04.00", WMS용마재고!$L:$L)</f>
        <v>1125</v>
      </c>
      <c r="AL4" s="248">
        <f>SUMIF(WMS용마재고!$A:$A,"s030-04.25", WMS용마재고!$L:$L)</f>
        <v>1087</v>
      </c>
      <c r="AM4" s="249">
        <f>SUMIF(WMS용마재고!$A:$A,"s030-04.50", WMS용마재고!$L:$L)</f>
        <v>1121</v>
      </c>
      <c r="AN4" s="9">
        <v>198</v>
      </c>
      <c r="AO4" s="5">
        <v>429</v>
      </c>
      <c r="AP4" s="5">
        <v>2054</v>
      </c>
      <c r="AQ4" s="5">
        <v>540</v>
      </c>
      <c r="AR4" s="5">
        <v>527</v>
      </c>
      <c r="AS4" s="5">
        <v>1076</v>
      </c>
      <c r="AT4" s="5">
        <v>890</v>
      </c>
      <c r="AU4" s="5">
        <v>779</v>
      </c>
      <c r="AV4" s="5">
        <v>1047</v>
      </c>
      <c r="AW4" s="5">
        <v>1192</v>
      </c>
      <c r="AX4" s="5">
        <v>1165</v>
      </c>
      <c r="AY4" s="5">
        <v>1072</v>
      </c>
      <c r="AZ4" s="5">
        <v>1086</v>
      </c>
      <c r="BA4" s="5">
        <v>1229</v>
      </c>
      <c r="BB4" s="5">
        <v>1737</v>
      </c>
      <c r="BC4" s="5">
        <v>1125</v>
      </c>
      <c r="BD4" s="5">
        <v>1087</v>
      </c>
      <c r="BE4" s="6">
        <v>1121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2"/>
      <c r="B5" s="660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736</v>
      </c>
      <c r="W5" s="261">
        <f>SUMIF(WMS용마재고!$A:$A,"s030-05.00", WMS용마재고!$L:$L)</f>
        <v>924</v>
      </c>
      <c r="X5" s="262">
        <f>SUMIF(WMS용마재고!$A:$A,"s030-05.25", WMS용마재고!$L:$L)</f>
        <v>979</v>
      </c>
      <c r="Y5" s="263">
        <f>SUMIF(WMS용마재고!$A:$A,"s030-05.50", WMS용마재고!$L:$L)</f>
        <v>635</v>
      </c>
      <c r="Z5" s="264">
        <f>SUMIF(WMS용마재고!$A:$A,"s030-05.75", WMS용마재고!$L:$L)</f>
        <v>804</v>
      </c>
      <c r="AA5" s="262">
        <f>SUMIF(WMS용마재고!$A:$A,"s030-06.00", WMS용마재고!$L:$L)</f>
        <v>776</v>
      </c>
      <c r="AB5" s="262">
        <f>SUMIF(WMS용마재고!$A:$A,"s030-06.50", WMS용마재고!$L:$L)</f>
        <v>644</v>
      </c>
      <c r="AC5" s="263">
        <f>SUMIF(WMS용마재고!$A:$A,"s030-07.00", WMS용마재고!$L:$L)</f>
        <v>1221</v>
      </c>
      <c r="AD5" s="261">
        <f>SUMIF(WMS용마재고!$A:$A,"s030-07.50", WMS용마재고!$L:$L)</f>
        <v>1234</v>
      </c>
      <c r="AE5" s="262">
        <f>SUMIF(WMS용마재고!$A:$A,"s030-08.00", WMS용마재고!$L:$L)</f>
        <v>287</v>
      </c>
      <c r="AF5" s="262">
        <f>SUMIF(WMS용마재고!$A:$A,"s030-08.50", WMS용마재고!$L:$L)</f>
        <v>189</v>
      </c>
      <c r="AG5" s="261">
        <f>SUMIF(WMS용마재고!$A:$A,"s030-09.00", WMS용마재고!$L:$L)</f>
        <v>238</v>
      </c>
      <c r="AH5" s="262">
        <f>SUMIF(WMS용마재고!$A:$A,"s030-09.50", WMS용마재고!$L:$L)</f>
        <v>1170</v>
      </c>
      <c r="AI5" s="264">
        <f>SUMIF(WMS용마재고!$A:$A,"s030-10.00", WMS용마재고!$L:$L)</f>
        <v>267</v>
      </c>
      <c r="AJ5" s="262">
        <f>SUMIF(WMS용마재고!$A:$A,"s030-10.50", WMS용마재고!$L:$L)</f>
        <v>1001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116</v>
      </c>
      <c r="AN5" s="9">
        <v>736</v>
      </c>
      <c r="AO5" s="5">
        <v>924</v>
      </c>
      <c r="AP5" s="5">
        <v>979</v>
      </c>
      <c r="AQ5" s="5">
        <v>635</v>
      </c>
      <c r="AR5" s="5">
        <v>804</v>
      </c>
      <c r="AS5" s="5">
        <v>776</v>
      </c>
      <c r="AT5" s="5">
        <v>644</v>
      </c>
      <c r="AU5" s="5">
        <v>1221</v>
      </c>
      <c r="AV5" s="5">
        <v>1234</v>
      </c>
      <c r="AW5" s="5">
        <v>287</v>
      </c>
      <c r="AX5" s="5">
        <v>189</v>
      </c>
      <c r="AY5" s="5">
        <v>238</v>
      </c>
      <c r="AZ5" s="5">
        <v>1170</v>
      </c>
      <c r="BA5" s="5">
        <v>267</v>
      </c>
      <c r="BB5" s="5">
        <v>1001</v>
      </c>
      <c r="BC5" s="5">
        <v>589</v>
      </c>
      <c r="BD5" s="5">
        <v>959</v>
      </c>
      <c r="BE5" s="6">
        <v>116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4">
        <v>3</v>
      </c>
      <c r="B6" s="566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132</v>
      </c>
      <c r="X6" s="260">
        <f>SUMIF(WMS용마재고!$A:$A,"s180-00.75", WMS용마재고!$L:$L)</f>
        <v>360</v>
      </c>
      <c r="Y6" s="258">
        <f>SUMIF(WMS용마재고!$A:$A,"s180-01.00", WMS용마재고!$L:$L)</f>
        <v>195</v>
      </c>
      <c r="Z6" s="259">
        <f>SUMIF(WMS용마재고!$A:$A,"s180-01.25", WMS용마재고!$L:$L)</f>
        <v>365</v>
      </c>
      <c r="AA6" s="260">
        <f>SUMIF(WMS용마재고!$A:$A,"s180-01.50", WMS용마재고!$L:$L)</f>
        <v>226</v>
      </c>
      <c r="AB6" s="260">
        <f>SUMIF(WMS용마재고!$A:$A,"s180-01.75", WMS용마재고!$L:$L)</f>
        <v>289</v>
      </c>
      <c r="AC6" s="258">
        <f>SUMIF(WMS용마재고!$A:$A,"s180-02.00", WMS용마재고!$L:$L)</f>
        <v>335</v>
      </c>
      <c r="AD6" s="257">
        <f>SUMIF(WMS용마재고!$A:$A,"s180-02.25", WMS용마재고!$L:$L)</f>
        <v>213</v>
      </c>
      <c r="AE6" s="260">
        <f>SUMIF(WMS용마재고!$A:$A,"s180-02.50", WMS용마재고!$L:$L)</f>
        <v>366</v>
      </c>
      <c r="AF6" s="260">
        <f>SUMIF(WMS용마재고!$A:$A,"s180-02.75", WMS용마재고!$L:$L)</f>
        <v>293</v>
      </c>
      <c r="AG6" s="257">
        <f>SUMIF(WMS용마재고!$A:$A,"s180-03.00", WMS용마재고!$L:$L)</f>
        <v>285</v>
      </c>
      <c r="AH6" s="260">
        <f>SUMIF(WMS용마재고!$A:$A,"s180-03.25", WMS용마재고!$L:$L)</f>
        <v>360</v>
      </c>
      <c r="AI6" s="259">
        <f>SUMIF(WMS용마재고!$A:$A,"s180-03.50", WMS용마재고!$L:$L)</f>
        <v>361</v>
      </c>
      <c r="AJ6" s="260">
        <f>SUMIF(WMS용마재고!$A:$A,"s180-03.75", WMS용마재고!$L:$L)</f>
        <v>425</v>
      </c>
      <c r="AK6" s="258">
        <f>SUMIF(WMS용마재고!$A:$A,"s180-04.00", WMS용마재고!$L:$L)</f>
        <v>528</v>
      </c>
      <c r="AL6" s="257">
        <f>SUMIF(WMS용마재고!$A:$A,"s180-04.25", WMS용마재고!$L:$L)</f>
        <v>352</v>
      </c>
      <c r="AM6" s="260">
        <f>SUMIF(WMS용마재고!$A:$A,"s180-04.50", WMS용마재고!$L:$L)</f>
        <v>410</v>
      </c>
      <c r="AN6" s="9">
        <v>0</v>
      </c>
      <c r="AO6" s="5">
        <v>132</v>
      </c>
      <c r="AP6" s="5">
        <v>360</v>
      </c>
      <c r="AQ6" s="5">
        <v>195</v>
      </c>
      <c r="AR6" s="5">
        <v>365</v>
      </c>
      <c r="AS6" s="5">
        <v>226</v>
      </c>
      <c r="AT6" s="5">
        <v>289</v>
      </c>
      <c r="AU6" s="5">
        <v>335</v>
      </c>
      <c r="AV6" s="5">
        <v>213</v>
      </c>
      <c r="AW6" s="5">
        <v>366</v>
      </c>
      <c r="AX6" s="5">
        <v>293</v>
      </c>
      <c r="AY6" s="5">
        <v>285</v>
      </c>
      <c r="AZ6" s="5">
        <v>360</v>
      </c>
      <c r="BA6" s="5">
        <v>361</v>
      </c>
      <c r="BB6" s="5">
        <v>425</v>
      </c>
      <c r="BC6" s="5">
        <v>528</v>
      </c>
      <c r="BD6" s="5">
        <v>352</v>
      </c>
      <c r="BE6" s="6">
        <v>410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5"/>
      <c r="B7" s="567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325</v>
      </c>
      <c r="W7" s="261">
        <f>SUMIF(WMS용마재고!$A:$A,"s180-05.00", WMS용마재고!$L:$L)</f>
        <v>302</v>
      </c>
      <c r="X7" s="262">
        <f>SUMIF(WMS용마재고!$A:$A,"s180-05.25", WMS용마재고!$L:$L)</f>
        <v>132</v>
      </c>
      <c r="Y7" s="263">
        <f>SUMIF(WMS용마재고!$A:$A,"s180-05.50", WMS용마재고!$L:$L)</f>
        <v>295</v>
      </c>
      <c r="Z7" s="264">
        <f>SUMIF(WMS용마재고!$A:$A,"s180-05.75", WMS용마재고!$L:$L)</f>
        <v>888</v>
      </c>
      <c r="AA7" s="262">
        <f>SUMIF(WMS용마재고!$A:$A,"s180-06.00", WMS용마재고!$L:$L)</f>
        <v>183</v>
      </c>
      <c r="AB7" s="262">
        <f>SUMIF(WMS용마재고!$A:$A,"s180-06.50", WMS용마재고!$L:$L)</f>
        <v>323</v>
      </c>
      <c r="AC7" s="263">
        <f>SUMIF(WMS용마재고!$A:$A,"s180-07.00", WMS용마재고!$L:$L)</f>
        <v>454</v>
      </c>
      <c r="AD7" s="261">
        <f>SUMIF(WMS용마재고!$A:$A,"s180-07.50", WMS용마재고!$L:$L)</f>
        <v>223</v>
      </c>
      <c r="AE7" s="262">
        <f>SUMIF(WMS용마재고!$A:$A,"s180-08.00", WMS용마재고!$L:$L)</f>
        <v>609</v>
      </c>
      <c r="AF7" s="262">
        <f>SUMIF(WMS용마재고!$A:$A,"s180-08.50", WMS용마재고!$L:$L)</f>
        <v>33</v>
      </c>
      <c r="AG7" s="261">
        <f>SUMIF(WMS용마재고!$A:$A,"s180-09.00", WMS용마재고!$L:$L)</f>
        <v>146</v>
      </c>
      <c r="AH7" s="262">
        <f>SUMIF(WMS용마재고!$A:$A,"s180-09.50", WMS용마재고!$L:$L)</f>
        <v>77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325</v>
      </c>
      <c r="AO7" s="5">
        <v>302</v>
      </c>
      <c r="AP7" s="5">
        <v>132</v>
      </c>
      <c r="AQ7" s="5">
        <v>295</v>
      </c>
      <c r="AR7" s="5">
        <v>888</v>
      </c>
      <c r="AS7" s="5">
        <v>183</v>
      </c>
      <c r="AT7" s="5">
        <v>323</v>
      </c>
      <c r="AU7" s="5">
        <v>454</v>
      </c>
      <c r="AV7" s="5">
        <v>223</v>
      </c>
      <c r="AW7" s="5">
        <v>609</v>
      </c>
      <c r="AX7" s="5">
        <v>33</v>
      </c>
      <c r="AY7" s="5">
        <v>146</v>
      </c>
      <c r="AZ7" s="5">
        <v>77</v>
      </c>
      <c r="BA7" s="5">
        <v>63</v>
      </c>
      <c r="BB7" s="5">
        <v>125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1">
        <v>4</v>
      </c>
      <c r="B8" s="609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261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261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2"/>
      <c r="B9" s="660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221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221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4">
        <v>5</v>
      </c>
      <c r="B10" s="566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1467</v>
      </c>
      <c r="W10" s="276">
        <f>SUMIF(WMS용마재고!$A:$A,"s129-00.50", WMS용마재고!$L:$L)+SUMIF(WMS용마재고!$A:$A,"a129-00.50", WMS용마재고!$L:$L)</f>
        <v>408</v>
      </c>
      <c r="X10" s="277">
        <f>SUMIF(WMS용마재고!$A:$A,"s129-00.75", WMS용마재고!$L:$L)+SUMIF(WMS용마재고!$A:$A,"a129-00.75", WMS용마재고!$L:$L)</f>
        <v>761</v>
      </c>
      <c r="Y10" s="278">
        <f>SUMIF(WMS용마재고!$A:$A,"s129-01.00", WMS용마재고!$L:$L)+SUMIF(WMS용마재고!$A:$A,"a129-01.00", WMS용마재고!$L:$L)</f>
        <v>216</v>
      </c>
      <c r="Z10" s="279">
        <f>SUMIF(WMS용마재고!$A:$A,"s129-01.25", WMS용마재고!$L:$L)+SUMIF(WMS용마재고!$A:$A,"a129-01.25", WMS용마재고!$L:$L)</f>
        <v>4</v>
      </c>
      <c r="AA10" s="277">
        <f>SUMIF(WMS용마재고!$A:$A,"s129-01.50", WMS용마재고!$L:$L)+SUMIF(WMS용마재고!$A:$A,"a129-01.50", WMS용마재고!$L:$L)</f>
        <v>181</v>
      </c>
      <c r="AB10" s="277">
        <f>SUMIF(WMS용마재고!$A:$A,"s129-01.75", WMS용마재고!$L:$L)+SUMIF(WMS용마재고!$A:$A,"a129-01.75", WMS용마재고!$L:$L)</f>
        <v>135</v>
      </c>
      <c r="AC10" s="278">
        <f>SUMIF(WMS용마재고!$A:$A,"s129-02.00", WMS용마재고!$L:$L)+SUMIF(WMS용마재고!$A:$A,"a129-02.00", WMS용마재고!$L:$L)</f>
        <v>99</v>
      </c>
      <c r="AD10" s="276">
        <f>SUMIF(WMS용마재고!$A:$A,"s129-02.25", WMS용마재고!$L:$L)+SUMIF(WMS용마재고!$A:$A,"a129-02.25", WMS용마재고!$L:$L)</f>
        <v>97</v>
      </c>
      <c r="AE10" s="277">
        <f>SUMIF(WMS용마재고!$A:$A,"s129-02.50", WMS용마재고!$L:$L)+SUMIF(WMS용마재고!$A:$A,"a129-02.50", WMS용마재고!$L:$L)</f>
        <v>188</v>
      </c>
      <c r="AF10" s="277">
        <f>SUMIF(WMS용마재고!$A:$A,"s129-02.75", WMS용마재고!$L:$L)+SUMIF(WMS용마재고!$A:$A,"a129-02.75", WMS용마재고!$L:$L)</f>
        <v>-30</v>
      </c>
      <c r="AG10" s="276">
        <f>SUMIF(WMS용마재고!$A:$A,"s129-03.00", WMS용마재고!$L:$L)+SUMIF(WMS용마재고!$A:$A,"a129-03.00", WMS용마재고!$L:$L)</f>
        <v>17</v>
      </c>
      <c r="AH10" s="277">
        <f>SUMIF(WMS용마재고!$A:$A,"s129-03.25", WMS용마재고!$L:$L)+SUMIF(WMS용마재고!$A:$A,"a129-03.25", WMS용마재고!$L:$L)</f>
        <v>1464</v>
      </c>
      <c r="AI10" s="279">
        <f>SUMIF(WMS용마재고!$A:$A,"s129-03.50", WMS용마재고!$L:$L)+SUMIF(WMS용마재고!$A:$A,"a129-03.50", WMS용마재고!$L:$L)</f>
        <v>174</v>
      </c>
      <c r="AJ10" s="277">
        <f>SUMIF(WMS용마재고!$A:$A,"s129-03.75", WMS용마재고!$L:$L)+SUMIF(WMS용마재고!$A:$A,"a129-03.75", WMS용마재고!$L:$L)</f>
        <v>171</v>
      </c>
      <c r="AK10" s="278">
        <f>SUMIF(WMS용마재고!$A:$A,"s129-04.00", WMS용마재고!$L:$L)+SUMIF(WMS용마재고!$A:$A,"a129-04.00", WMS용마재고!$L:$L)</f>
        <v>-30</v>
      </c>
      <c r="AL10" s="276">
        <f>SUMIF(WMS용마재고!$A:$A,"s129-04.25", WMS용마재고!$L:$L)+SUMIF(WMS용마재고!$A:$A,"a129-04.25", WMS용마재고!$L:$L)</f>
        <v>99</v>
      </c>
      <c r="AM10" s="294">
        <f>SUMIF(WMS용마재고!$A:$A,"s129-04.50", WMS용마재고!$L:$L)+SUMIF(WMS용마재고!$A:$A,"a129-04.50", WMS용마재고!$L:$L)</f>
        <v>128</v>
      </c>
      <c r="AN10" s="9">
        <v>1507</v>
      </c>
      <c r="AO10" s="5">
        <v>408</v>
      </c>
      <c r="AP10" s="5">
        <v>761</v>
      </c>
      <c r="AQ10" s="5">
        <v>251</v>
      </c>
      <c r="AR10" s="5">
        <v>39</v>
      </c>
      <c r="AS10" s="5">
        <v>216</v>
      </c>
      <c r="AT10" s="5">
        <v>170</v>
      </c>
      <c r="AU10" s="5">
        <v>134</v>
      </c>
      <c r="AV10" s="5">
        <v>132</v>
      </c>
      <c r="AW10" s="5">
        <v>223</v>
      </c>
      <c r="AX10" s="5">
        <v>-9</v>
      </c>
      <c r="AY10" s="5">
        <v>52</v>
      </c>
      <c r="AZ10" s="5">
        <v>1499</v>
      </c>
      <c r="BA10" s="5">
        <v>209</v>
      </c>
      <c r="BB10" s="5">
        <v>206</v>
      </c>
      <c r="BC10" s="5">
        <v>-24</v>
      </c>
      <c r="BD10" s="5">
        <v>134</v>
      </c>
      <c r="BE10" s="6">
        <v>163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>경고</v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>경고</v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5"/>
      <c r="B11" s="567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100</v>
      </c>
      <c r="W11" s="281">
        <f>SUMIF(WMS용마재고!$A:$A,"s129-05.00", WMS용마재고!$L:$L)+SUMIF(WMS용마재고!$A:$A,"a129-05.00", WMS용마재고!$L:$L)</f>
        <v>21</v>
      </c>
      <c r="X11" s="282">
        <f>SUMIF(WMS용마재고!$A:$A,"s129-05.25", WMS용마재고!$L:$L)+SUMIF(WMS용마재고!$A:$A,"a129-05.25", WMS용마재고!$L:$L)</f>
        <v>338</v>
      </c>
      <c r="Y11" s="283">
        <f>SUMIF(WMS용마재고!$A:$A,"s129-05.50", WMS용마재고!$L:$L)+SUMIF(WMS용마재고!$A:$A,"a129-05.50", WMS용마재고!$L:$L)</f>
        <v>181</v>
      </c>
      <c r="Z11" s="284">
        <f>SUMIF(WMS용마재고!$A:$A,"s129-05.75", WMS용마재고!$L:$L)+SUMIF(WMS용마재고!$A:$A,"a129-05.75", WMS용마재고!$L:$L)</f>
        <v>124</v>
      </c>
      <c r="AA11" s="282">
        <f>SUMIF(WMS용마재고!$A:$A,"s129-06.00", WMS용마재고!$L:$L)+SUMIF(WMS용마재고!$A:$A,"a129-06.00", WMS용마재고!$L:$L)</f>
        <v>105</v>
      </c>
      <c r="AB11" s="282">
        <f>SUMIF(WMS용마재고!$A:$A,"s129-06.50", WMS용마재고!$L:$L)+SUMIF(WMS용마재고!$A:$A,"a129-06.50", WMS용마재고!$L:$L)</f>
        <v>489</v>
      </c>
      <c r="AC11" s="283">
        <f>SUMIF(WMS용마재고!$A:$A,"s129-07.00", WMS용마재고!$L:$L)+SUMIF(WMS용마재고!$A:$A,"a129-07.00", WMS용마재고!$L:$L)</f>
        <v>511</v>
      </c>
      <c r="AD11" s="281">
        <f>SUMIF(WMS용마재고!$A:$A,"s129-07.50", WMS용마재고!$L:$L)+SUMIF(WMS용마재고!$A:$A,"a129-07.50", WMS용마재고!$L:$L)</f>
        <v>205</v>
      </c>
      <c r="AE11" s="282">
        <f>SUMIF(WMS용마재고!$A:$A,"s129-08.00", WMS용마재고!$L:$L)+SUMIF(WMS용마재고!$A:$A,"a129-08.00", WMS용마재고!$L:$L)</f>
        <v>657</v>
      </c>
      <c r="AF11" s="282">
        <f>SUMIF(WMS용마재고!$A:$A,"s129-08.50", WMS용마재고!$L:$L)+SUMIF(WMS용마재고!$A:$A,"a129-08.50", WMS용마재고!$L:$L)</f>
        <v>821</v>
      </c>
      <c r="AG11" s="281">
        <f>SUMIF(WMS용마재고!$A:$A,"s129-09.00", WMS용마재고!$L:$L)+SUMIF(WMS용마재고!$A:$A,"a129-09.00", WMS용마재고!$L:$L)</f>
        <v>266</v>
      </c>
      <c r="AH11" s="282">
        <f>SUMIF(WMS용마재고!$A:$A,"s129-09.50", WMS용마재고!$L:$L)+SUMIF(WMS용마재고!$A:$A,"a129-09.50", WMS용마재고!$L:$L)</f>
        <v>267</v>
      </c>
      <c r="AI11" s="282">
        <f>SUMIF(WMS용마재고!$A:$A,"s129-10.00", WMS용마재고!$L:$L)+SUMIF(WMS용마재고!$A:$A,"a129-10.00", WMS용마재고!$L:$L)</f>
        <v>806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135</v>
      </c>
      <c r="AO11" s="5">
        <v>56</v>
      </c>
      <c r="AP11" s="5">
        <v>353</v>
      </c>
      <c r="AQ11" s="5">
        <v>196</v>
      </c>
      <c r="AR11" s="5">
        <v>139</v>
      </c>
      <c r="AS11" s="5">
        <v>120</v>
      </c>
      <c r="AT11" s="5">
        <v>504</v>
      </c>
      <c r="AU11" s="5">
        <v>526</v>
      </c>
      <c r="AV11" s="5">
        <v>205</v>
      </c>
      <c r="AW11" s="5">
        <v>657</v>
      </c>
      <c r="AX11" s="5">
        <v>821</v>
      </c>
      <c r="AY11" s="5">
        <v>266</v>
      </c>
      <c r="AZ11" s="5">
        <v>267</v>
      </c>
      <c r="BA11" s="5">
        <v>806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>경고</v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1">
        <v>6</v>
      </c>
      <c r="B12" s="609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984</v>
      </c>
      <c r="W12" s="290">
        <f>SUMIF(WMS용마재고!$A:$A,"s156-00.50", WMS용마재고!$L:$L)</f>
        <v>295</v>
      </c>
      <c r="X12" s="291">
        <f>SUMIF(WMS용마재고!$A:$A,"s156-00.75", WMS용마재고!$L:$L)</f>
        <v>374</v>
      </c>
      <c r="Y12" s="292">
        <f>SUMIF(WMS용마재고!$A:$A,"s156-01.00", WMS용마재고!$L:$L)</f>
        <v>457</v>
      </c>
      <c r="Z12" s="293">
        <f>SUMIF(WMS용마재고!$A:$A,"s156-01.25", WMS용마재고!$L:$L)</f>
        <v>469</v>
      </c>
      <c r="AA12" s="291">
        <f>SUMIF(WMS용마재고!$A:$A,"s156-01.50", WMS용마재고!$L:$L)</f>
        <v>563</v>
      </c>
      <c r="AB12" s="291">
        <f>SUMIF(WMS용마재고!$A:$A,"s156-01.75", WMS용마재고!$L:$L)</f>
        <v>553</v>
      </c>
      <c r="AC12" s="292">
        <f>SUMIF(WMS용마재고!$A:$A,"s156-02.00", WMS용마재고!$L:$L)</f>
        <v>1065</v>
      </c>
      <c r="AD12" s="290">
        <f>SUMIF(WMS용마재고!$A:$A,"s156-02.25", WMS용마재고!$L:$L)</f>
        <v>1127</v>
      </c>
      <c r="AE12" s="291">
        <f>SUMIF(WMS용마재고!$A:$A,"s156-02.50", WMS용마재고!$L:$L)</f>
        <v>1356</v>
      </c>
      <c r="AF12" s="291">
        <f>SUMIF(WMS용마재고!$A:$A,"s156-02.75", WMS용마재고!$L:$L)</f>
        <v>1554</v>
      </c>
      <c r="AG12" s="290">
        <f>SUMIF(WMS용마재고!$A:$A,"s156-03.00", WMS용마재고!$L:$L)</f>
        <v>1445</v>
      </c>
      <c r="AH12" s="285">
        <f>SUMIF(WMS용마재고!$A:$A,"s156-03.25", WMS용마재고!$L:$L)</f>
        <v>1437</v>
      </c>
      <c r="AI12" s="286">
        <f>SUMIF(WMS용마재고!$A:$A,"s156-03.50", WMS용마재고!$L:$L)</f>
        <v>2014</v>
      </c>
      <c r="AJ12" s="292">
        <f>SUMIF(WMS용마재고!$A:$A,"s156-03.75", WMS용마재고!$L:$L)</f>
        <v>1761</v>
      </c>
      <c r="AK12" s="292">
        <f>SUMIF(WMS용마재고!$A:$A,"s156-04.00", WMS용마재고!$L:$L)</f>
        <v>1796</v>
      </c>
      <c r="AL12" s="290">
        <f>SUMIF(WMS용마재고!$A:$A,"s156-04.25", WMS용마재고!$L:$L)</f>
        <v>1236</v>
      </c>
      <c r="AM12" s="291">
        <f>SUMIF(WMS용마재고!$A:$A,"s156-04.50", WMS용마재고!$L:$L)</f>
        <v>1061</v>
      </c>
      <c r="AN12" s="9">
        <v>1014</v>
      </c>
      <c r="AO12" s="5">
        <v>295</v>
      </c>
      <c r="AP12" s="5">
        <v>374</v>
      </c>
      <c r="AQ12" s="5">
        <v>487</v>
      </c>
      <c r="AR12" s="5">
        <v>499</v>
      </c>
      <c r="AS12" s="5">
        <v>593</v>
      </c>
      <c r="AT12" s="5">
        <v>583</v>
      </c>
      <c r="AU12" s="5">
        <v>1095</v>
      </c>
      <c r="AV12" s="5">
        <v>1157</v>
      </c>
      <c r="AW12" s="5">
        <v>1386</v>
      </c>
      <c r="AX12" s="5">
        <v>1584</v>
      </c>
      <c r="AY12" s="5">
        <v>1475</v>
      </c>
      <c r="AZ12" s="5">
        <v>1467</v>
      </c>
      <c r="BA12" s="5">
        <v>2044</v>
      </c>
      <c r="BB12" s="5">
        <v>1791</v>
      </c>
      <c r="BC12" s="5">
        <v>1826</v>
      </c>
      <c r="BD12" s="5">
        <v>1266</v>
      </c>
      <c r="BE12" s="6">
        <v>1091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2"/>
      <c r="B13" s="660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993</v>
      </c>
      <c r="W13" s="271">
        <f>SUMIF(WMS용마재고!$A:$A,"s156-05.00", WMS용마재고!$L:$L)</f>
        <v>1200</v>
      </c>
      <c r="X13" s="287">
        <f>SUMIF(WMS용마재고!$A:$A,"s156-05.25", WMS용마재고!$L:$L)</f>
        <v>405</v>
      </c>
      <c r="Y13" s="271">
        <f>SUMIF(WMS용마재고!$A:$A,"s156-05.50", WMS용마재고!$L:$L)</f>
        <v>1199</v>
      </c>
      <c r="Z13" s="274">
        <f>SUMIF(WMS용마재고!$A:$A,"s156-05.75", WMS용마재고!$L:$L)</f>
        <v>334</v>
      </c>
      <c r="AA13" s="272">
        <f>SUMIF(WMS용마재고!$A:$A,"s156-06.00", WMS용마재고!$L:$L)</f>
        <v>1611</v>
      </c>
      <c r="AB13" s="272">
        <f>SUMIF(WMS용마재고!$A:$A,"s156-06.50", WMS용마재고!$L:$L)</f>
        <v>1287</v>
      </c>
      <c r="AC13" s="271">
        <f>SUMIF(WMS용마재고!$A:$A,"s156-07.00", WMS용마재고!$L:$L)</f>
        <v>976</v>
      </c>
      <c r="AD13" s="274">
        <f>SUMIF(WMS용마재고!$A:$A,"s156-07.50", WMS용마재고!$L:$L)</f>
        <v>828</v>
      </c>
      <c r="AE13" s="272">
        <f>SUMIF(WMS용마재고!$A:$A,"s156-08.00", WMS용마재고!$L:$L)</f>
        <v>688</v>
      </c>
      <c r="AF13" s="272">
        <f>SUMIF(WMS용마재고!$A:$A,"s156-08.50", WMS용마재고!$L:$L)</f>
        <v>365</v>
      </c>
      <c r="AG13" s="271">
        <f>SUMIF(WMS용마재고!$A:$A,"s156-09.00", WMS용마재고!$L:$L)</f>
        <v>295</v>
      </c>
      <c r="AH13" s="288">
        <f>SUMIF(WMS용마재고!$A:$A,"s156-09.50", WMS용마재고!$L:$L)</f>
        <v>363</v>
      </c>
      <c r="AI13" s="288">
        <f>SUMIF(WMS용마재고!$A:$A,"s156-10.00", WMS용마재고!$L:$L)</f>
        <v>288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1013</v>
      </c>
      <c r="AO13" s="5">
        <v>1230</v>
      </c>
      <c r="AP13" s="5">
        <v>425</v>
      </c>
      <c r="AQ13" s="5">
        <v>1219</v>
      </c>
      <c r="AR13" s="5">
        <v>354</v>
      </c>
      <c r="AS13" s="5">
        <v>1636</v>
      </c>
      <c r="AT13" s="5">
        <v>1307</v>
      </c>
      <c r="AU13" s="5">
        <v>1001</v>
      </c>
      <c r="AV13" s="5">
        <v>828</v>
      </c>
      <c r="AW13" s="5">
        <v>688</v>
      </c>
      <c r="AX13" s="5">
        <v>365</v>
      </c>
      <c r="AY13" s="5">
        <v>295</v>
      </c>
      <c r="AZ13" s="5">
        <v>363</v>
      </c>
      <c r="BA13" s="5">
        <v>288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4">
        <v>7</v>
      </c>
      <c r="B14" s="566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484</v>
      </c>
      <c r="X14" s="251">
        <f>SUMIF(WMS용마재고!$A:$A,"s125-00.75", WMS용마재고!$L:$L)</f>
        <v>448</v>
      </c>
      <c r="Y14" s="259">
        <f>SUMIF(WMS용마재고!$A:$A,"s125-01.00", WMS용마재고!$L:$L)</f>
        <v>353</v>
      </c>
      <c r="Z14" s="259">
        <f>SUMIF(WMS용마재고!$A:$A,"s125-01.25", WMS용마재고!$L:$L)</f>
        <v>340</v>
      </c>
      <c r="AA14" s="260">
        <f>SUMIF(WMS용마재고!$A:$A,"s125-01.50", WMS용마재고!$L:$L)</f>
        <v>323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385</v>
      </c>
      <c r="AJ14" s="260">
        <f>SUMIF(WMS용마재고!$A:$A,"s125-03.75", WMS용마재고!$L:$L)</f>
        <v>436</v>
      </c>
      <c r="AK14" s="257">
        <f>SUMIF(WMS용마재고!$A:$A,"s125-04.00", WMS용마재고!$L:$L)</f>
        <v>276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484</v>
      </c>
      <c r="AP14" s="5">
        <v>448</v>
      </c>
      <c r="AQ14" s="5">
        <v>353</v>
      </c>
      <c r="AR14" s="5">
        <v>340</v>
      </c>
      <c r="AS14" s="5">
        <v>323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385</v>
      </c>
      <c r="BB14" s="5">
        <v>436</v>
      </c>
      <c r="BC14" s="5">
        <v>276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5"/>
      <c r="B15" s="567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446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260</v>
      </c>
      <c r="AI15" s="298">
        <f>SUMIF(WMS용마재고!$A:$A,"s125-10.00", WMS용마재고!$L:$L)</f>
        <v>209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446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260</v>
      </c>
      <c r="BA15" s="5">
        <v>209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1">
        <v>8</v>
      </c>
      <c r="B16" s="609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1252</v>
      </c>
      <c r="W16" s="301">
        <f>SUMIF(WMS용마재고!$A:$A,"s120-00.50", WMS용마재고!$L:$L)+SUMIF(WMS용마재고!$A:$A,"a120-00.50", WMS용마재고!$L:$L)</f>
        <v>479</v>
      </c>
      <c r="X16" s="301">
        <f>SUMIF(WMS용마재고!$A:$A,"s120-00.75", WMS용마재고!$L:$L)+SUMIF(WMS용마재고!$A:$A,"a120-00.75", WMS용마재고!$L:$L)</f>
        <v>260</v>
      </c>
      <c r="Y16" s="301">
        <f>SUMIF(WMS용마재고!$A:$A,"s120-01.00", WMS용마재고!$L:$L)+SUMIF(WMS용마재고!$A:$A,"a120-01.00", WMS용마재고!$L:$L)</f>
        <v>181</v>
      </c>
      <c r="Z16" s="301">
        <f>SUMIF(WMS용마재고!$A:$A,"s120-01.25", WMS용마재고!$L:$L)+SUMIF(WMS용마재고!$A:$A,"a120-01.25", WMS용마재고!$L:$L)</f>
        <v>133</v>
      </c>
      <c r="AA16" s="302">
        <f>SUMIF(WMS용마재고!$A:$A,"s120-01.50", WMS용마재고!$L:$L)+SUMIF(WMS용마재고!$A:$A,"a120-01.50", WMS용마재고!$L:$L)</f>
        <v>223</v>
      </c>
      <c r="AB16" s="302">
        <f>SUMIF(WMS용마재고!$A:$A,"s120-01.75", WMS용마재고!$L:$L)+SUMIF(WMS용마재고!$A:$A,"a120-01.75", WMS용마재고!$L:$L)</f>
        <v>221</v>
      </c>
      <c r="AC16" s="303">
        <f>SUMIF(WMS용마재고!$A:$A,"s120-02.00", WMS용마재고!$L:$L)+SUMIF(WMS용마재고!$A:$A,"a120-02.00", WMS용마재고!$L:$L)</f>
        <v>804</v>
      </c>
      <c r="AD16" s="301">
        <f>SUMIF(WMS용마재고!$A:$A,"s120-02.25", WMS용마재고!$L:$L)+SUMIF(WMS용마재고!$A:$A,"a120-02.25", WMS용마재고!$L:$L)</f>
        <v>586</v>
      </c>
      <c r="AE16" s="304">
        <f>SUMIF(WMS용마재고!$A:$A,"s120-02.50", WMS용마재고!$L:$L)+SUMIF(WMS용마재고!$A:$A,"a120-02.50", WMS용마재고!$L:$L)</f>
        <v>378</v>
      </c>
      <c r="AF16" s="304">
        <f>SUMIF(WMS용마재고!$A:$A,"s120-02.75", WMS용마재고!$L:$L)+SUMIF(WMS용마재고!$A:$A,"a120-02.75", WMS용마재고!$L:$L)</f>
        <v>904</v>
      </c>
      <c r="AG16" s="303">
        <f>SUMIF(WMS용마재고!$A:$A,"s120-03.00", WMS용마재고!$L:$L)+SUMIF(WMS용마재고!$A:$A,"a120-03.00", WMS용마재고!$L:$L)</f>
        <v>588</v>
      </c>
      <c r="AH16" s="301">
        <f>SUMIF(WMS용마재고!$A:$A,"s120-03.25", WMS용마재고!$L:$L)+SUMIF(WMS용마재고!$A:$A,"a120-03.25", WMS용마재고!$L:$L)</f>
        <v>508</v>
      </c>
      <c r="AI16" s="301">
        <f>SUMIF(WMS용마재고!$A:$A,"s120-03.50", WMS용마재고!$L:$L)+SUMIF(WMS용마재고!$A:$A,"a120-03.50", WMS용마재고!$L:$L)</f>
        <v>634</v>
      </c>
      <c r="AJ16" s="305">
        <f>SUMIF(WMS용마재고!$A:$A,"s120-03.75", WMS용마재고!$L:$L)+SUMIF(WMS용마재고!$A:$A,"a120-03.75", WMS용마재고!$L:$L)</f>
        <v>882</v>
      </c>
      <c r="AK16" s="301">
        <f>SUMIF(WMS용마재고!$A:$A,"s120-04.00", WMS용마재고!$L:$L)+SUMIF(WMS용마재고!$A:$A,"a120-04.00", WMS용마재고!$L:$L)</f>
        <v>883</v>
      </c>
      <c r="AL16" s="301">
        <f>SUMIF(WMS용마재고!$A:$A,"s120-04.25", WMS용마재고!$L:$L)+SUMIF(WMS용마재고!$A:$A,"a120-04.25", WMS용마재고!$L:$L)</f>
        <v>1225</v>
      </c>
      <c r="AM16" s="304">
        <f>SUMIF(WMS용마재고!$A:$A,"s120-04.50", WMS용마재고!$L:$L)+SUMIF(WMS용마재고!$A:$A,"a120-04.50", WMS용마재고!$L:$L)</f>
        <v>151</v>
      </c>
      <c r="AN16" s="9">
        <v>1292</v>
      </c>
      <c r="AO16" s="5">
        <v>479</v>
      </c>
      <c r="AP16" s="5">
        <v>260</v>
      </c>
      <c r="AQ16" s="5">
        <v>216</v>
      </c>
      <c r="AR16" s="5">
        <v>168</v>
      </c>
      <c r="AS16" s="5">
        <v>258</v>
      </c>
      <c r="AT16" s="5">
        <v>256</v>
      </c>
      <c r="AU16" s="5">
        <v>839</v>
      </c>
      <c r="AV16" s="5">
        <v>621</v>
      </c>
      <c r="AW16" s="5">
        <v>413</v>
      </c>
      <c r="AX16" s="5">
        <v>939</v>
      </c>
      <c r="AY16" s="5">
        <v>623</v>
      </c>
      <c r="AZ16" s="5">
        <v>543</v>
      </c>
      <c r="BA16" s="5">
        <v>669</v>
      </c>
      <c r="BB16" s="5">
        <v>917</v>
      </c>
      <c r="BC16" s="5">
        <v>918</v>
      </c>
      <c r="BD16" s="5">
        <v>1260</v>
      </c>
      <c r="BE16" s="6">
        <v>186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2"/>
      <c r="B17" s="660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5</v>
      </c>
      <c r="W17" s="307">
        <f>SUMIF(WMS용마재고!$A:$A,"s120-05.00", WMS용마재고!$L:$L)+SUMIF(WMS용마재고!$A:$A,"a120-05.00", WMS용마재고!$L:$L)</f>
        <v>833</v>
      </c>
      <c r="X17" s="307">
        <f>SUMIF(WMS용마재고!$A:$A,"s120-05.25", WMS용마재고!$L:$L)+SUMIF(WMS용마재고!$A:$A,"a120-05.25", WMS용마재고!$L:$L)</f>
        <v>473</v>
      </c>
      <c r="Y17" s="307">
        <f>SUMIF(WMS용마재고!$A:$A,"s120-05.50", WMS용마재고!$L:$L)+SUMIF(WMS용마재고!$A:$A,"a120-05.50", WMS용마재고!$L:$L)</f>
        <v>1389</v>
      </c>
      <c r="Z17" s="307">
        <f>SUMIF(WMS용마재고!$A:$A,"s120-05.75", WMS용마재고!$L:$L)+SUMIF(WMS용마재고!$A:$A,"a120-05.75", WMS용마재고!$L:$L)</f>
        <v>1131</v>
      </c>
      <c r="AA17" s="308">
        <f>SUMIF(WMS용마재고!$A:$A,"s120-06.00", WMS용마재고!$L:$L)+SUMIF(WMS용마재고!$A:$A,"a120-06.00", WMS용마재고!$L:$L)</f>
        <v>232</v>
      </c>
      <c r="AB17" s="308">
        <f>SUMIF(WMS용마재고!$A:$A,"s120-06.50", WMS용마재고!$L:$L)+SUMIF(WMS용마재고!$A:$A,"a120-06.50", WMS용마재고!$L:$L)</f>
        <v>828</v>
      </c>
      <c r="AC17" s="307">
        <f>SUMIF(WMS용마재고!$A:$A,"s120-07.00", WMS용마재고!$L:$L)+SUMIF(WMS용마재고!$A:$A,"a120-07.00", WMS용마재고!$L:$L)</f>
        <v>570</v>
      </c>
      <c r="AD17" s="307">
        <f>SUMIF(WMS용마재고!$A:$A,"s120-07.50", WMS용마재고!$L:$L)+SUMIF(WMS용마재고!$A:$A,"a120-07.50", WMS용마재고!$L:$L)</f>
        <v>567</v>
      </c>
      <c r="AE17" s="309">
        <f>SUMIF(WMS용마재고!$A:$A,"s120-08.00", WMS용마재고!$L:$L)+SUMIF(WMS용마재고!$A:$A,"a120-08.00", WMS용마재고!$L:$L)</f>
        <v>300</v>
      </c>
      <c r="AF17" s="309">
        <f>SUMIF(WMS용마재고!$A:$A,"s120-08.50", WMS용마재고!$L:$L)+SUMIF(WMS용마재고!$A:$A,"a120-08.50", WMS용마재고!$L:$L)</f>
        <v>219</v>
      </c>
      <c r="AG17" s="310">
        <f>SUMIF(WMS용마재고!$A:$A,"s120-09.00", WMS용마재고!$L:$L)+SUMIF(WMS용마재고!$A:$A,"a120-09.00", WMS용마재고!$L:$L)</f>
        <v>385</v>
      </c>
      <c r="AH17" s="307">
        <f>SUMIF(WMS용마재고!$A:$A,"s120-09.50", WMS용마재고!$L:$L)+SUMIF(WMS용마재고!$A:$A,"a120-09.50", WMS용마재고!$L:$L)</f>
        <v>497</v>
      </c>
      <c r="AI17" s="307">
        <f>SUMIF(WMS용마재고!$A:$A,"s120-10.00", WMS용마재고!$L:$L)+SUMIF(WMS용마재고!$A:$A,"a120-10.00", WMS용마재고!$L:$L)</f>
        <v>338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40</v>
      </c>
      <c r="AO17" s="5">
        <v>863</v>
      </c>
      <c r="AP17" s="5">
        <v>488</v>
      </c>
      <c r="AQ17" s="5">
        <v>1404</v>
      </c>
      <c r="AR17" s="5">
        <v>1146</v>
      </c>
      <c r="AS17" s="5">
        <v>247</v>
      </c>
      <c r="AT17" s="5">
        <v>843</v>
      </c>
      <c r="AU17" s="5">
        <v>585</v>
      </c>
      <c r="AV17" s="5">
        <v>567</v>
      </c>
      <c r="AW17" s="5">
        <v>300</v>
      </c>
      <c r="AX17" s="5">
        <v>219</v>
      </c>
      <c r="AY17" s="5">
        <v>385</v>
      </c>
      <c r="AZ17" s="5">
        <v>497</v>
      </c>
      <c r="BA17" s="5">
        <v>338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>경고</v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4">
        <v>9</v>
      </c>
      <c r="B18" s="566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809</v>
      </c>
      <c r="W18" s="259">
        <f>SUMIF(WMS용마재고!$A:$A,"S157-00.50", WMS용마재고!$L:$L)</f>
        <v>162</v>
      </c>
      <c r="X18" s="259">
        <f>SUMIF(WMS용마재고!$A:$A,"S157-00.75", WMS용마재고!$L:$L)</f>
        <v>175</v>
      </c>
      <c r="Y18" s="259">
        <f>SUMIF(WMS용마재고!$A:$A,"S157-01.00", WMS용마재고!$L:$L)</f>
        <v>324</v>
      </c>
      <c r="Z18" s="259">
        <f>SUMIF(WMS용마재고!$A:$A,"S157-01.25", WMS용마재고!$L:$L)</f>
        <v>123</v>
      </c>
      <c r="AA18" s="259">
        <f>SUMIF(WMS용마재고!$A:$A,"S157-01.50", WMS용마재고!$L:$L)</f>
        <v>692</v>
      </c>
      <c r="AB18" s="259">
        <f>SUMIF(WMS용마재고!$A:$A,"S157-01.75", WMS용마재고!$L:$L)</f>
        <v>133</v>
      </c>
      <c r="AC18" s="259">
        <f>SUMIF(WMS용마재고!$A:$A,"S157-02.00", WMS용마재고!$L:$L)</f>
        <v>180</v>
      </c>
      <c r="AD18" s="259">
        <f>SUMIF(WMS용마재고!$A:$A,"S157-02.25", WMS용마재고!$L:$L)</f>
        <v>667</v>
      </c>
      <c r="AE18" s="311">
        <f>SUMIF(WMS용마재고!$A:$A,"S157-02.50", WMS용마재고!$L:$L)</f>
        <v>319</v>
      </c>
      <c r="AF18" s="311">
        <f>SUMIF(WMS용마재고!$A:$A,"S157-02.75", WMS용마재고!$L:$L)</f>
        <v>500</v>
      </c>
      <c r="AG18" s="257">
        <f>SUMIF(WMS용마재고!$A:$A,"S157-03.00", WMS용마재고!$L:$L)</f>
        <v>781</v>
      </c>
      <c r="AH18" s="259">
        <f>SUMIF(WMS용마재고!$A:$A,"S157-03.25", WMS용마재고!$L:$L)</f>
        <v>784</v>
      </c>
      <c r="AI18" s="259">
        <f>SUMIF(WMS용마재고!$A:$A,"S157-03.50", WMS용마재고!$L:$L)</f>
        <v>850</v>
      </c>
      <c r="AJ18" s="259">
        <f>SUMIF(WMS용마재고!$A:$A,"S157-03.75", WMS용마재고!$L:$L)</f>
        <v>769</v>
      </c>
      <c r="AK18" s="259">
        <f>SUMIF(WMS용마재고!$A:$A,"S157-04.00", WMS용마재고!$L:$L)</f>
        <v>620</v>
      </c>
      <c r="AL18" s="259">
        <f>SUMIF(WMS용마재고!$A:$A,"S157-04.25", WMS용마재고!$L:$L)</f>
        <v>902</v>
      </c>
      <c r="AM18" s="260">
        <f>SUMIF(WMS용마재고!$A:$A,"S157-04.50", WMS용마재고!$L:$L)</f>
        <v>775</v>
      </c>
      <c r="AN18" s="9">
        <v>834</v>
      </c>
      <c r="AO18" s="5">
        <v>162</v>
      </c>
      <c r="AP18" s="5">
        <v>175</v>
      </c>
      <c r="AQ18" s="5">
        <v>349</v>
      </c>
      <c r="AR18" s="5">
        <v>148</v>
      </c>
      <c r="AS18" s="5">
        <v>717</v>
      </c>
      <c r="AT18" s="5">
        <v>153</v>
      </c>
      <c r="AU18" s="5">
        <v>205</v>
      </c>
      <c r="AV18" s="5">
        <v>687</v>
      </c>
      <c r="AW18" s="5">
        <v>339</v>
      </c>
      <c r="AX18" s="5">
        <v>520</v>
      </c>
      <c r="AY18" s="5">
        <v>806</v>
      </c>
      <c r="AZ18" s="5">
        <v>804</v>
      </c>
      <c r="BA18" s="5">
        <v>870</v>
      </c>
      <c r="BB18" s="5">
        <v>789</v>
      </c>
      <c r="BC18" s="5">
        <v>645</v>
      </c>
      <c r="BD18" s="5">
        <v>922</v>
      </c>
      <c r="BE18" s="6">
        <v>795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5"/>
      <c r="B19" s="567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551</v>
      </c>
      <c r="W19" s="264">
        <f>SUMIF(WMS용마재고!$A:$A,"S157-05.00", WMS용마재고!$L:$L)</f>
        <v>1285</v>
      </c>
      <c r="X19" s="264">
        <f>SUMIF(WMS용마재고!$A:$A,"S157-05.25", WMS용마재고!$L:$L)</f>
        <v>240</v>
      </c>
      <c r="Y19" s="264">
        <f>SUMIF(WMS용마재고!$A:$A,"S157-05.50", WMS용마재고!$L:$L)</f>
        <v>722</v>
      </c>
      <c r="Z19" s="264">
        <f>SUMIF(WMS용마재고!$A:$A,"S157-05.75", WMS용마재고!$L:$L)</f>
        <v>454</v>
      </c>
      <c r="AA19" s="264">
        <f>SUMIF(WMS용마재고!$A:$A,"S157-06.00", WMS용마재고!$L:$L)</f>
        <v>847</v>
      </c>
      <c r="AB19" s="264">
        <f>SUMIF(WMS용마재고!$A:$A,"S157-06.50", WMS용마재고!$L:$L)</f>
        <v>948</v>
      </c>
      <c r="AC19" s="264">
        <f>SUMIF(WMS용마재고!$A:$A,"S157-07.00", WMS용마재고!$L:$L)</f>
        <v>584</v>
      </c>
      <c r="AD19" s="264">
        <f>SUMIF(WMS용마재고!$A:$A,"S157-07.50", WMS용마재고!$L:$L)</f>
        <v>561</v>
      </c>
      <c r="AE19" s="298">
        <f>SUMIF(WMS용마재고!$A:$A,"S157-08.00", WMS용마재고!$L:$L)</f>
        <v>543</v>
      </c>
      <c r="AF19" s="298">
        <f>SUMIF(WMS용마재고!$A:$A,"S157-08.50", WMS용마재고!$L:$L)</f>
        <v>251</v>
      </c>
      <c r="AG19" s="264">
        <f>SUMIF(WMS용마재고!$A:$A,"S157-09.00", WMS용마재고!$L:$L)</f>
        <v>241</v>
      </c>
      <c r="AH19" s="264">
        <f>SUMIF(WMS용마재고!$A:$A,"S157-09.50", WMS용마재고!$L:$L)</f>
        <v>148</v>
      </c>
      <c r="AI19" s="264">
        <f>SUMIF(WMS용마재고!$A:$A,"S157-10.00", WMS용마재고!$L:$L)</f>
        <v>205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571</v>
      </c>
      <c r="AO19" s="5">
        <v>1310</v>
      </c>
      <c r="AP19" s="5">
        <v>260</v>
      </c>
      <c r="AQ19" s="5">
        <v>742</v>
      </c>
      <c r="AR19" s="5">
        <v>474</v>
      </c>
      <c r="AS19" s="5">
        <v>872</v>
      </c>
      <c r="AT19" s="5">
        <v>968</v>
      </c>
      <c r="AU19" s="5">
        <v>609</v>
      </c>
      <c r="AV19" s="5">
        <v>561</v>
      </c>
      <c r="AW19" s="5">
        <v>543</v>
      </c>
      <c r="AX19" s="5">
        <v>251</v>
      </c>
      <c r="AY19" s="5">
        <v>241</v>
      </c>
      <c r="AZ19" s="5">
        <v>148</v>
      </c>
      <c r="BA19" s="5">
        <v>205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1">
        <v>10</v>
      </c>
      <c r="B20" s="589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308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308</v>
      </c>
      <c r="AP20" s="5">
        <v>475</v>
      </c>
      <c r="AQ20" s="5">
        <v>580</v>
      </c>
      <c r="AR20" s="5">
        <v>419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416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2"/>
      <c r="B21" s="590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4">
        <v>11</v>
      </c>
      <c r="B22" s="566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554</v>
      </c>
      <c r="W22" s="279">
        <f>SUMIF(WMS용마재고!$A:$A,"S128-00.50", WMS용마재고!$L:$L)+SUMIF(WMS용마재고!$A:$A,"a128-00.50", WMS용마재고!$L:$L)</f>
        <v>202</v>
      </c>
      <c r="X22" s="279">
        <f>SUMIF(WMS용마재고!$A:$A,"S128-00.75", WMS용마재고!$L:$L)+SUMIF(WMS용마재고!$A:$A,"a128-00.75", WMS용마재고!$L:$L)</f>
        <v>223</v>
      </c>
      <c r="Y22" s="279">
        <f>SUMIF(WMS용마재고!$A:$A,"S128-01.00", WMS용마재고!$L:$L)+SUMIF(WMS용마재고!$A:$A,"a128-01.00", WMS용마재고!$L:$L)</f>
        <v>301</v>
      </c>
      <c r="Z22" s="279">
        <f>SUMIF(WMS용마재고!$A:$A,"S128-01.25", WMS용마재고!$L:$L)+SUMIF(WMS용마재고!$A:$A,"a128-01.25", WMS용마재고!$L:$L)</f>
        <v>393</v>
      </c>
      <c r="AA22" s="279">
        <f>SUMIF(WMS용마재고!$A:$A,"S128-01.50", WMS용마재고!$L:$L)+SUMIF(WMS용마재고!$A:$A,"a128-01.50", WMS용마재고!$L:$L)</f>
        <v>365</v>
      </c>
      <c r="AB22" s="279">
        <f>SUMIF(WMS용마재고!$A:$A,"S128-01.75", WMS용마재고!$L:$L)+SUMIF(WMS용마재고!$A:$A,"a128-01.75", WMS용마재고!$L:$L)</f>
        <v>485</v>
      </c>
      <c r="AC22" s="279">
        <f>SUMIF(WMS용마재고!$A:$A,"S128-02.00", WMS용마재고!$L:$L)+SUMIF(WMS용마재고!$A:$A,"a128-02.00", WMS용마재고!$L:$L)</f>
        <v>610</v>
      </c>
      <c r="AD22" s="279">
        <f>SUMIF(WMS용마재고!$A:$A,"S128-02.25", WMS용마재고!$L:$L)+SUMIF(WMS용마재고!$A:$A,"a128-02.25", WMS용마재고!$L:$L)</f>
        <v>359</v>
      </c>
      <c r="AE22" s="279">
        <f>SUMIF(WMS용마재고!$A:$A,"S128-02.50", WMS용마재고!$L:$L)+SUMIF(WMS용마재고!$A:$A,"a128-02.50", WMS용마재고!$L:$L)</f>
        <v>322</v>
      </c>
      <c r="AF22" s="279">
        <f>SUMIF(WMS용마재고!$A:$A,"S128-02.75", WMS용마재고!$L:$L)+SUMIF(WMS용마재고!$A:$A,"a128-02.75", WMS용마재고!$L:$L)</f>
        <v>228</v>
      </c>
      <c r="AG22" s="279">
        <f>SUMIF(WMS용마재고!$A:$A,"S128-03.00", WMS용마재고!$L:$L)+SUMIF(WMS용마재고!$A:$A,"a128-03.00", WMS용마재고!$L:$L)</f>
        <v>454</v>
      </c>
      <c r="AH22" s="279">
        <f>SUMIF(WMS용마재고!$A:$A,"S128-03.25", WMS용마재고!$L:$L)+SUMIF(WMS용마재고!$A:$A,"a128-03.25", WMS용마재고!$L:$L)</f>
        <v>286</v>
      </c>
      <c r="AI22" s="279">
        <f>SUMIF(WMS용마재고!$A:$A,"S128-03.50", WMS용마재고!$L:$L)+SUMIF(WMS용마재고!$A:$A,"a128-03.50", WMS용마재고!$L:$L)</f>
        <v>543</v>
      </c>
      <c r="AJ22" s="279">
        <f>SUMIF(WMS용마재고!$A:$A,"S128-03.75", WMS용마재고!$L:$L)+SUMIF(WMS용마재고!$A:$A,"a128-03.75", WMS용마재고!$L:$L)</f>
        <v>434</v>
      </c>
      <c r="AK22" s="279">
        <f>SUMIF(WMS용마재고!$A:$A,"S128-04.00", WMS용마재고!$L:$L)+SUMIF(WMS용마재고!$A:$A,"a128-04.00", WMS용마재고!$L:$L)</f>
        <v>658</v>
      </c>
      <c r="AL22" s="279">
        <f>SUMIF(WMS용마재고!$A:$A,"S128-04.25", WMS용마재고!$L:$L)+SUMIF(WMS용마재고!$A:$A,"a128-04.25", WMS용마재고!$L:$L)</f>
        <v>193</v>
      </c>
      <c r="AM22" s="294">
        <f>SUMIF(WMS용마재고!$A:$A,"S128-04.50", WMS용마재고!$L:$L)+SUMIF(WMS용마재고!$A:$A,"a128-04.50", WMS용마재고!$L:$L)</f>
        <v>384</v>
      </c>
      <c r="AN22" s="9">
        <v>579</v>
      </c>
      <c r="AO22" s="5">
        <v>202</v>
      </c>
      <c r="AP22" s="5">
        <v>223</v>
      </c>
      <c r="AQ22" s="5">
        <v>311</v>
      </c>
      <c r="AR22" s="5">
        <v>403</v>
      </c>
      <c r="AS22" s="5">
        <v>375</v>
      </c>
      <c r="AT22" s="5">
        <v>495</v>
      </c>
      <c r="AU22" s="5">
        <v>620</v>
      </c>
      <c r="AV22" s="5">
        <v>369</v>
      </c>
      <c r="AW22" s="5">
        <v>332</v>
      </c>
      <c r="AX22" s="5">
        <v>238</v>
      </c>
      <c r="AY22" s="5">
        <v>464</v>
      </c>
      <c r="AZ22" s="5">
        <v>296</v>
      </c>
      <c r="BA22" s="5">
        <v>553</v>
      </c>
      <c r="BB22" s="5">
        <v>444</v>
      </c>
      <c r="BC22" s="5">
        <v>668</v>
      </c>
      <c r="BD22" s="5">
        <v>203</v>
      </c>
      <c r="BE22" s="6">
        <v>394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5"/>
      <c r="B23" s="567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306</v>
      </c>
      <c r="W23" s="284">
        <f>SUMIF(WMS용마재고!$A:$A,"S128-05.00", WMS용마재고!$L:$L)+SUMIF(WMS용마재고!$A:$A,"a128-05.00", WMS용마재고!$L:$L)</f>
        <v>598</v>
      </c>
      <c r="X23" s="284">
        <f>SUMIF(WMS용마재고!$A:$A,"S128-05.25", WMS용마재고!$L:$L)+SUMIF(WMS용마재고!$A:$A,"a128-05.25", WMS용마재고!$L:$L)</f>
        <v>588</v>
      </c>
      <c r="Y23" s="284">
        <f>SUMIF(WMS용마재고!$A:$A,"S128-05.50", WMS용마재고!$L:$L)+SUMIF(WMS용마재고!$A:$A,"a128-05.50", WMS용마재고!$L:$L)</f>
        <v>483</v>
      </c>
      <c r="Z23" s="284">
        <f>SUMIF(WMS용마재고!$A:$A,"S128-05.75", WMS용마재고!$L:$L)+SUMIF(WMS용마재고!$A:$A,"a128-05.75", WMS용마재고!$L:$L)</f>
        <v>371</v>
      </c>
      <c r="AA23" s="284">
        <f>SUMIF(WMS용마재고!$A:$A,"S128-06.00", WMS용마재고!$L:$L)+SUMIF(WMS용마재고!$A:$A,"a128-06.00", WMS용마재고!$L:$L)</f>
        <v>449</v>
      </c>
      <c r="AB23" s="284">
        <f>SUMIF(WMS용마재고!$A:$A,"S128-06.50", WMS용마재고!$L:$L)+SUMIF(WMS용마재고!$A:$A,"a128-06.50", WMS용마재고!$L:$L)</f>
        <v>296</v>
      </c>
      <c r="AC23" s="284">
        <f>SUMIF(WMS용마재고!$A:$A,"S128-07.00", WMS용마재고!$L:$L)+SUMIF(WMS용마재고!$A:$A,"a128-07.00", WMS용마재고!$L:$L)</f>
        <v>203</v>
      </c>
      <c r="AD23" s="284">
        <f>SUMIF(WMS용마재고!$A:$A,"S128-07.50", WMS용마재고!$L:$L)+SUMIF(WMS용마재고!$A:$A,"a128-07.50", WMS용마재고!$L:$L)</f>
        <v>186</v>
      </c>
      <c r="AE23" s="284">
        <f>SUMIF(WMS용마재고!$A:$A,"S128-08.00", WMS용마재고!$L:$L)+SUMIF(WMS용마재고!$A:$A,"a128-08.00", WMS용마재고!$L:$L)</f>
        <v>243</v>
      </c>
      <c r="AF23" s="284">
        <f>SUMIF(WMS용마재고!$A:$A,"S128-08.50", WMS용마재고!$L:$L)+SUMIF(WMS용마재고!$A:$A,"a128-08.50", WMS용마재고!$L:$L)</f>
        <v>178</v>
      </c>
      <c r="AG23" s="284">
        <f>SUMIF(WMS용마재고!$A:$A,"S128-09.00", WMS용마재고!$L:$L)+SUMIF(WMS용마재고!$A:$A,"a128-09.00", WMS용마재고!$L:$L)</f>
        <v>138</v>
      </c>
      <c r="AH23" s="284">
        <f>SUMIF(WMS용마재고!$A:$A,"S128-09.50", WMS용마재고!$L:$L)+SUMIF(WMS용마재고!$A:$A,"a128-09.50", WMS용마재고!$L:$L)</f>
        <v>593</v>
      </c>
      <c r="AI23" s="284">
        <f>SUMIF(WMS용마재고!$A:$A,"S128-10.00", WMS용마재고!$L:$L)+SUMIF(WMS용마재고!$A:$A,"a128-10.00", WMS용마재고!$L:$L)</f>
        <v>200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316</v>
      </c>
      <c r="AO23" s="5">
        <v>608</v>
      </c>
      <c r="AP23" s="5">
        <v>588</v>
      </c>
      <c r="AQ23" s="5">
        <v>483</v>
      </c>
      <c r="AR23" s="5">
        <v>371</v>
      </c>
      <c r="AS23" s="5">
        <v>449</v>
      </c>
      <c r="AT23" s="5">
        <v>296</v>
      </c>
      <c r="AU23" s="5">
        <v>203</v>
      </c>
      <c r="AV23" s="5">
        <v>186</v>
      </c>
      <c r="AW23" s="5">
        <v>243</v>
      </c>
      <c r="AX23" s="5">
        <v>178</v>
      </c>
      <c r="AY23" s="5">
        <v>138</v>
      </c>
      <c r="AZ23" s="5">
        <v>593</v>
      </c>
      <c r="BA23" s="5">
        <v>200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1">
        <v>12</v>
      </c>
      <c r="B24" s="589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370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370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2"/>
      <c r="B25" s="590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82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82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4">
        <v>13</v>
      </c>
      <c r="B26" s="566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1298</v>
      </c>
      <c r="W26" s="301">
        <f>SUMIF(WMS용마재고!$A:$A,"S130-00.50", WMS용마재고!$L:$L)+SUMIF(WMS용마재고!$A:$A,"a130-00.50", WMS용마재고!$L:$L)</f>
        <v>393</v>
      </c>
      <c r="X26" s="301">
        <f>SUMIF(WMS용마재고!$A:$A,"S130-00.75", WMS용마재고!$L:$L)+SUMIF(WMS용마재고!$A:$A,"a130-00.75", WMS용마재고!$L:$L)</f>
        <v>230</v>
      </c>
      <c r="Y26" s="301">
        <f>SUMIF(WMS용마재고!$A:$A,"S130-01.00", WMS용마재고!$L:$L)+SUMIF(WMS용마재고!$A:$A,"a130-01.00", WMS용마재고!$L:$L)</f>
        <v>767</v>
      </c>
      <c r="Z26" s="301">
        <f>SUMIF(WMS용마재고!$A:$A,"S130-01.25", WMS용마재고!$L:$L)+SUMIF(WMS용마재고!$A:$A,"a130-01.25", WMS용마재고!$L:$L)</f>
        <v>533</v>
      </c>
      <c r="AA26" s="301">
        <f>SUMIF(WMS용마재고!$A:$A,"S130-01.50", WMS용마재고!$L:$L)+SUMIF(WMS용마재고!$A:$A,"a130-01.50", WMS용마재고!$L:$L)</f>
        <v>462</v>
      </c>
      <c r="AB26" s="301">
        <f>SUMIF(WMS용마재고!$A:$A,"S130-01.75", WMS용마재고!$L:$L)+SUMIF(WMS용마재고!$A:$A,"a130-01.75", WMS용마재고!$L:$L)</f>
        <v>518</v>
      </c>
      <c r="AC26" s="301">
        <f>SUMIF(WMS용마재고!$A:$A,"S130-02.00", WMS용마재고!$L:$L)+SUMIF(WMS용마재고!$A:$A,"a130-02.00", WMS용마재고!$L:$L)</f>
        <v>466</v>
      </c>
      <c r="AD26" s="301">
        <f>SUMIF(WMS용마재고!$A:$A,"S130-02.25", WMS용마재고!$L:$L)+SUMIF(WMS용마재고!$A:$A,"a130-02.25", WMS용마재고!$L:$L)</f>
        <v>484</v>
      </c>
      <c r="AE26" s="301">
        <f>SUMIF(WMS용마재고!$A:$A,"S130-02.50", WMS용마재고!$L:$L)+SUMIF(WMS용마재고!$A:$A,"a130-02.50", WMS용마재고!$L:$L)</f>
        <v>589</v>
      </c>
      <c r="AF26" s="301">
        <f>SUMIF(WMS용마재고!$A:$A,"S130-02.75", WMS용마재고!$L:$L)+SUMIF(WMS용마재고!$A:$A,"a130-02.75", WMS용마재고!$L:$L)</f>
        <v>489</v>
      </c>
      <c r="AG26" s="301">
        <f>SUMIF(WMS용마재고!$A:$A,"S130-03.00", WMS용마재고!$L:$L)+SUMIF(WMS용마재고!$A:$A,"a130-03.00", WMS용마재고!$L:$L)</f>
        <v>469</v>
      </c>
      <c r="AH26" s="301">
        <f>SUMIF(WMS용마재고!$A:$A,"S130-03.25", WMS용마재고!$L:$L)+SUMIF(WMS용마재고!$A:$A,"a130-03.25", WMS용마재고!$L:$L)</f>
        <v>376</v>
      </c>
      <c r="AI26" s="301">
        <f>SUMIF(WMS용마재고!$A:$A,"S130-03.50", WMS용마재고!$L:$L)+SUMIF(WMS용마재고!$A:$A,"a130-03.50", WMS용마재고!$L:$L)</f>
        <v>742</v>
      </c>
      <c r="AJ26" s="301">
        <f>SUMIF(WMS용마재고!$A:$A,"S130-03.75", WMS용마재고!$L:$L)+SUMIF(WMS용마재고!$A:$A,"a130-03.75", WMS용마재고!$L:$L)</f>
        <v>513</v>
      </c>
      <c r="AK26" s="301">
        <f>SUMIF(WMS용마재고!$A:$A,"S130-04.00", WMS용마재고!$L:$L)+SUMIF(WMS용마재고!$A:$A,"a130-04.00", WMS용마재고!$L:$L)</f>
        <v>372</v>
      </c>
      <c r="AL26" s="301">
        <f>SUMIF(WMS용마재고!$A:$A,"S130-04.25", WMS용마재고!$L:$L)+SUMIF(WMS용마재고!$A:$A,"a130-04.25", WMS용마재고!$L:$L)</f>
        <v>754</v>
      </c>
      <c r="AM26" s="319">
        <f>SUMIF(WMS용마재고!$A:$A,"S130-04.50", WMS용마재고!$L:$L)+SUMIF(WMS용마재고!$A:$A,"a130-04.50", WMS용마재고!$L:$L)</f>
        <v>704</v>
      </c>
      <c r="AN26" s="9">
        <v>1323</v>
      </c>
      <c r="AO26" s="5">
        <v>393</v>
      </c>
      <c r="AP26" s="5">
        <v>230</v>
      </c>
      <c r="AQ26" s="5">
        <v>777</v>
      </c>
      <c r="AR26" s="5">
        <v>543</v>
      </c>
      <c r="AS26" s="5">
        <v>472</v>
      </c>
      <c r="AT26" s="5">
        <v>528</v>
      </c>
      <c r="AU26" s="5">
        <v>476</v>
      </c>
      <c r="AV26" s="5">
        <v>494</v>
      </c>
      <c r="AW26" s="5">
        <v>599</v>
      </c>
      <c r="AX26" s="5">
        <v>499</v>
      </c>
      <c r="AY26" s="5">
        <v>479</v>
      </c>
      <c r="AZ26" s="5">
        <v>386</v>
      </c>
      <c r="BA26" s="5">
        <v>752</v>
      </c>
      <c r="BB26" s="5">
        <v>523</v>
      </c>
      <c r="BC26" s="5">
        <v>382</v>
      </c>
      <c r="BD26" s="5">
        <v>764</v>
      </c>
      <c r="BE26" s="6">
        <v>714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5"/>
      <c r="B27" s="567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627</v>
      </c>
      <c r="W27" s="321">
        <f>SUMIF(WMS용마재고!$A:$A,"S130-05.00", WMS용마재고!$L:$L)+SUMIF(WMS용마재고!$A:$A,"a130-05.00", WMS용마재고!$L:$L)</f>
        <v>563</v>
      </c>
      <c r="X27" s="321">
        <f>SUMIF(WMS용마재고!$A:$A,"S130-05.25", WMS용마재고!$L:$L)+SUMIF(WMS용마재고!$A:$A,"a130-05.25", WMS용마재고!$L:$L)</f>
        <v>492</v>
      </c>
      <c r="Y27" s="321">
        <f>SUMIF(WMS용마재고!$A:$A,"S130-05.50", WMS용마재고!$L:$L)+SUMIF(WMS용마재고!$A:$A,"a130-05.50", WMS용마재고!$L:$L)</f>
        <v>528</v>
      </c>
      <c r="Z27" s="321">
        <f>SUMIF(WMS용마재고!$A:$A,"S130-05.75", WMS용마재고!$L:$L)+SUMIF(WMS용마재고!$A:$A,"a130-05.75", WMS용마재고!$L:$L)</f>
        <v>379</v>
      </c>
      <c r="AA27" s="321">
        <f>SUMIF(WMS용마재고!$A:$A,"S130-06.00", WMS용마재고!$L:$L)+SUMIF(WMS용마재고!$A:$A,"a130-06.00", WMS용마재고!$L:$L)</f>
        <v>608</v>
      </c>
      <c r="AB27" s="321">
        <f>SUMIF(WMS용마재고!$A:$A,"S130-06.50", WMS용마재고!$L:$L)+SUMIF(WMS용마재고!$A:$A,"a130-06.50", WMS용마재고!$L:$L)</f>
        <v>598</v>
      </c>
      <c r="AC27" s="321">
        <f>SUMIF(WMS용마재고!$A:$A,"S130-07.00", WMS용마재고!$L:$L)+SUMIF(WMS용마재고!$A:$A,"a130-07.00", WMS용마재고!$L:$L)</f>
        <v>901</v>
      </c>
      <c r="AD27" s="321">
        <f>SUMIF(WMS용마재고!$A:$A,"S130-07.50", WMS용마재고!$L:$L)+SUMIF(WMS용마재고!$A:$A,"a130-07.50", WMS용마재고!$L:$L)</f>
        <v>458</v>
      </c>
      <c r="AE27" s="321">
        <f>SUMIF(WMS용마재고!$A:$A,"S130-08.00", WMS용마재고!$L:$L)+SUMIF(WMS용마재고!$A:$A,"a130-08.00", WMS용마재고!$L:$L)</f>
        <v>586</v>
      </c>
      <c r="AF27" s="321">
        <f>SUMIF(WMS용마재고!$A:$A,"S130-08.50", WMS용마재고!$L:$L)+SUMIF(WMS용마재고!$A:$A,"a130-08.50", WMS용마재고!$L:$L)</f>
        <v>155</v>
      </c>
      <c r="AG27" s="321">
        <f>SUMIF(WMS용마재고!$A:$A,"S130-09.00", WMS용마재고!$L:$L)+SUMIF(WMS용마재고!$A:$A,"a130-09.00", WMS용마재고!$L:$L)</f>
        <v>303</v>
      </c>
      <c r="AH27" s="321">
        <f>SUMIF(WMS용마재고!$A:$A,"S130-09.50", WMS용마재고!$L:$L)+SUMIF(WMS용마재고!$A:$A,"a130-09.50", WMS용마재고!$L:$L)</f>
        <v>657</v>
      </c>
      <c r="AI27" s="321">
        <f>SUMIF(WMS용마재고!$A:$A,"S130-10.00", WMS용마재고!$L:$L)+SUMIF(WMS용마재고!$A:$A,"a130-10.00", WMS용마재고!$L:$L)</f>
        <v>189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637</v>
      </c>
      <c r="AO27" s="5">
        <v>573</v>
      </c>
      <c r="AP27" s="5">
        <v>492</v>
      </c>
      <c r="AQ27" s="5">
        <v>528</v>
      </c>
      <c r="AR27" s="5">
        <v>379</v>
      </c>
      <c r="AS27" s="5">
        <v>608</v>
      </c>
      <c r="AT27" s="5">
        <v>598</v>
      </c>
      <c r="AU27" s="5">
        <v>901</v>
      </c>
      <c r="AV27" s="5">
        <v>458</v>
      </c>
      <c r="AW27" s="5">
        <v>586</v>
      </c>
      <c r="AX27" s="5">
        <v>155</v>
      </c>
      <c r="AY27" s="5">
        <v>303</v>
      </c>
      <c r="AZ27" s="5">
        <v>657</v>
      </c>
      <c r="BA27" s="5">
        <v>189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4">
        <v>14</v>
      </c>
      <c r="B28" s="661" t="s">
        <v>4758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194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290</v>
      </c>
      <c r="Y28" s="301">
        <f>SUMIF(WMS용마재고!$A:$A,"S104-01.00", WMS용마재고!$L:$L)+SUMIF(WMS용마재고!$A:$A,"a130-01.00", WMS용마재고!$L:$L)</f>
        <v>134</v>
      </c>
      <c r="Z28" s="301">
        <f>SUMIF(WMS용마재고!$A:$A,"S104-01.25", WMS용마재고!$L:$L)+SUMIF(WMS용마재고!$A:$A,"a130-01.25", WMS용마재고!$L:$L)</f>
        <v>175</v>
      </c>
      <c r="AA28" s="301">
        <f>SUMIF(WMS용마재고!$A:$A,"S104-01.50", WMS용마재고!$L:$L)+SUMIF(WMS용마재고!$A:$A,"a130-01.50", WMS용마재고!$L:$L)</f>
        <v>204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199</v>
      </c>
      <c r="AD28" s="301">
        <f>SUMIF(WMS용마재고!$A:$A,"S104-02.25", WMS용마재고!$L:$L)+SUMIF(WMS용마재고!$A:$A,"a130-02.25", WMS용마재고!$L:$L)</f>
        <v>332</v>
      </c>
      <c r="AE28" s="301">
        <f>SUMIF(WMS용마재고!$A:$A,"S104-02.50", WMS용마재고!$L:$L)+SUMIF(WMS용마재고!$A:$A,"a130-02.50", WMS용마재고!$L:$L)</f>
        <v>183</v>
      </c>
      <c r="AF28" s="301">
        <f>SUMIF(WMS용마재고!$A:$A,"S104-02.75", WMS용마재고!$L:$L)+SUMIF(WMS용마재고!$A:$A,"a130-02.75", WMS용마재고!$L:$L)</f>
        <v>172</v>
      </c>
      <c r="AG28" s="301">
        <f>SUMIF(WMS용마재고!$A:$A,"S104-03.00", WMS용마재고!$L:$L)+SUMIF(WMS용마재고!$A:$A,"a130-03.00", WMS용마재고!$L:$L)</f>
        <v>176</v>
      </c>
      <c r="AH28" s="301">
        <f>SUMIF(WMS용마재고!$A:$A,"S104-03.25", WMS용마재고!$L:$L)+SUMIF(WMS용마재고!$A:$A,"a130-03.25", WMS용마재고!$L:$L)</f>
        <v>203</v>
      </c>
      <c r="AI28" s="301">
        <f>SUMIF(WMS용마재고!$A:$A,"S104-03.50", WMS용마재고!$L:$L)+SUMIF(WMS용마재고!$A:$A,"a130-03.50", WMS용마재고!$L:$L)</f>
        <v>108</v>
      </c>
      <c r="AJ28" s="301">
        <f>SUMIF(WMS용마재고!$A:$A,"S104-03.75", WMS용마재고!$L:$L)+SUMIF(WMS용마재고!$A:$A,"a130-03.75", WMS용마재고!$L:$L)</f>
        <v>148</v>
      </c>
      <c r="AK28" s="301">
        <f>SUMIF(WMS용마재고!$A:$A,"S104-04.00", WMS용마재고!$L:$L)+SUMIF(WMS용마재고!$A:$A,"a130-04.00", WMS용마재고!$L:$L)</f>
        <v>164</v>
      </c>
      <c r="AL28" s="301">
        <f>SUMIF(WMS용마재고!$A:$A,"S104-04.25", WMS용마재고!$L:$L)+SUMIF(WMS용마재고!$A:$A,"a130-04.25", WMS용마재고!$L:$L)</f>
        <v>143</v>
      </c>
      <c r="AM28" s="319">
        <f>SUMIF(WMS용마재고!$A:$A,"S104-04.50", WMS용마재고!$L:$L)+SUMIF(WMS용마재고!$A:$A,"a130-04.50", WMS용마재고!$L:$L)</f>
        <v>202</v>
      </c>
      <c r="AN28" s="9">
        <v>194</v>
      </c>
      <c r="AO28" s="5">
        <v>0</v>
      </c>
      <c r="AP28" s="5">
        <v>290</v>
      </c>
      <c r="AQ28" s="5">
        <v>134</v>
      </c>
      <c r="AR28" s="5">
        <v>175</v>
      </c>
      <c r="AS28" s="5">
        <v>204</v>
      </c>
      <c r="AT28" s="5">
        <v>167</v>
      </c>
      <c r="AU28" s="5">
        <v>199</v>
      </c>
      <c r="AV28" s="5">
        <v>332</v>
      </c>
      <c r="AW28" s="5">
        <v>183</v>
      </c>
      <c r="AX28" s="5">
        <v>172</v>
      </c>
      <c r="AY28" s="5">
        <v>176</v>
      </c>
      <c r="AZ28" s="5">
        <v>203</v>
      </c>
      <c r="BA28" s="5">
        <v>108</v>
      </c>
      <c r="BB28" s="5">
        <v>148</v>
      </c>
      <c r="BC28" s="5">
        <v>164</v>
      </c>
      <c r="BD28" s="5">
        <v>143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5"/>
      <c r="B29" s="661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188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181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206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188</v>
      </c>
      <c r="AO29" s="5">
        <v>220</v>
      </c>
      <c r="AP29" s="5">
        <v>0</v>
      </c>
      <c r="AQ29" s="5">
        <v>181</v>
      </c>
      <c r="AR29" s="5">
        <v>0</v>
      </c>
      <c r="AS29" s="5">
        <v>206</v>
      </c>
      <c r="AT29" s="5">
        <v>187</v>
      </c>
      <c r="AU29" s="5">
        <v>213</v>
      </c>
      <c r="AV29" s="5">
        <v>180</v>
      </c>
      <c r="AW29" s="5">
        <v>199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4">
        <v>15</v>
      </c>
      <c r="B30" s="661" t="s">
        <v>4760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342</v>
      </c>
      <c r="AF30" s="301">
        <f>SUMIF(WMS용마재고!$A:$A,"S109-02.75", WMS용마재고!$L:$L)+SUMIF(WMS용마재고!$A:$A,"a130-02.75", WMS용마재고!$L:$L)</f>
        <v>278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126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342</v>
      </c>
      <c r="AX30" s="5">
        <v>278</v>
      </c>
      <c r="AY30" s="5">
        <v>129</v>
      </c>
      <c r="AZ30" s="5">
        <v>158</v>
      </c>
      <c r="BA30" s="5">
        <v>102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5"/>
      <c r="B31" s="661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4">
        <v>16</v>
      </c>
      <c r="B32" s="661" t="s">
        <v>4762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400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113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153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991</v>
      </c>
      <c r="AM32" s="319">
        <f>SUMIF(WMS용마재고!$A:$A,"S110-04.50", WMS용마재고!$L:$L)+SUMIF(WMS용마재고!$A:$A,"a130-04.50", WMS용마재고!$L:$L)</f>
        <v>128</v>
      </c>
      <c r="AN32" s="9">
        <v>400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111</v>
      </c>
      <c r="AV32" s="5">
        <v>100</v>
      </c>
      <c r="AW32" s="5">
        <v>113</v>
      </c>
      <c r="AX32" s="5">
        <v>113</v>
      </c>
      <c r="AY32" s="5">
        <v>139</v>
      </c>
      <c r="AZ32" s="5">
        <v>146</v>
      </c>
      <c r="BA32" s="5">
        <v>369</v>
      </c>
      <c r="BB32" s="5">
        <v>153</v>
      </c>
      <c r="BC32" s="5">
        <v>149</v>
      </c>
      <c r="BD32" s="5">
        <v>991</v>
      </c>
      <c r="BE32" s="6">
        <v>128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5"/>
      <c r="B33" s="661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128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447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140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128</v>
      </c>
      <c r="AP33" s="5">
        <v>0</v>
      </c>
      <c r="AQ33" s="5">
        <v>447</v>
      </c>
      <c r="AR33" s="5">
        <v>0</v>
      </c>
      <c r="AS33" s="5">
        <v>140</v>
      </c>
      <c r="AT33" s="5">
        <v>117</v>
      </c>
      <c r="AU33" s="5">
        <v>104</v>
      </c>
      <c r="AV33" s="5">
        <v>444</v>
      </c>
      <c r="AW33" s="5">
        <v>152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4">
        <v>17</v>
      </c>
      <c r="B34" s="661" t="s">
        <v>4764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185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1104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172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185</v>
      </c>
      <c r="AS34" s="5">
        <v>255</v>
      </c>
      <c r="AT34" s="5">
        <v>281</v>
      </c>
      <c r="AU34" s="5">
        <v>216</v>
      </c>
      <c r="AV34" s="5">
        <v>1104</v>
      </c>
      <c r="AW34" s="5">
        <v>235</v>
      </c>
      <c r="AX34" s="5">
        <v>212</v>
      </c>
      <c r="AY34" s="5">
        <v>186</v>
      </c>
      <c r="AZ34" s="5">
        <v>172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5"/>
      <c r="B35" s="661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169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1">
        <v>18</v>
      </c>
      <c r="B36" s="589" t="s">
        <v>7132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328</v>
      </c>
      <c r="W36" s="269">
        <f>SUMIF(WMS용마재고!$A:$A,"S145-00.50", WMS용마재고!$L:$L)</f>
        <v>96</v>
      </c>
      <c r="X36" s="269">
        <f>SUMIF(WMS용마재고!$A:$A,"S145-00.75", WMS용마재고!$L:$L)</f>
        <v>327</v>
      </c>
      <c r="Y36" s="269">
        <f>SUMIF(WMS용마재고!$A:$A,"S145-01.00", WMS용마재고!$L:$L)</f>
        <v>167</v>
      </c>
      <c r="Z36" s="269">
        <f>SUMIF(WMS용마재고!$A:$A,"S145-01.25", WMS용마재고!$L:$L)</f>
        <v>564</v>
      </c>
      <c r="AA36" s="269">
        <f>SUMIF(WMS용마재고!$A:$A,"S145-01.50", WMS용마재고!$L:$L)</f>
        <v>473</v>
      </c>
      <c r="AB36" s="269">
        <f>SUMIF(WMS용마재고!$A:$A,"S145-01.75", WMS용마재고!$L:$L)</f>
        <v>256</v>
      </c>
      <c r="AC36" s="269">
        <f>SUMIF(WMS용마재고!$A:$A,"S145-02.00", WMS용마재고!$L:$L)</f>
        <v>415</v>
      </c>
      <c r="AD36" s="269">
        <f>SUMIF(WMS용마재고!$A:$A,"S145-02.25", WMS용마재고!$L:$L)</f>
        <v>240</v>
      </c>
      <c r="AE36" s="269">
        <f>SUMIF(WMS용마재고!$A:$A,"S145-02.50", WMS용마재고!$L:$L)</f>
        <v>340</v>
      </c>
      <c r="AF36" s="269">
        <f>SUMIF(WMS용마재고!$A:$A,"S145-02.75", WMS용마재고!$L:$L)</f>
        <v>311</v>
      </c>
      <c r="AG36" s="269">
        <f>SUMIF(WMS용마재고!$A:$A,"S145-03.00", WMS용마재고!$L:$L)</f>
        <v>315</v>
      </c>
      <c r="AH36" s="269">
        <f>SUMIF(WMS용마재고!$A:$A,"S145-03.25", WMS용마재고!$L:$L)</f>
        <v>332</v>
      </c>
      <c r="AI36" s="269">
        <f>SUMIF(WMS용마재고!$A:$A,"S145-03.50", WMS용마재고!$L:$L)</f>
        <v>253</v>
      </c>
      <c r="AJ36" s="269">
        <f>SUMIF(WMS용마재고!$A:$A,"S145-03.75", WMS용마재고!$L:$L)</f>
        <v>371</v>
      </c>
      <c r="AK36" s="269">
        <f>SUMIF(WMS용마재고!$A:$A,"S145-04.00", WMS용마재고!$L:$L)</f>
        <v>533</v>
      </c>
      <c r="AL36" s="269">
        <f>SUMIF(WMS용마재고!$A:$A,"S145-04.25", WMS용마재고!$L:$L)</f>
        <v>348</v>
      </c>
      <c r="AM36" s="323">
        <f>SUMIF(WMS용마재고!$A:$A,"S145-04.50", WMS용마재고!$L:$L)</f>
        <v>138</v>
      </c>
      <c r="AN36" s="9">
        <v>348</v>
      </c>
      <c r="AO36" s="5">
        <v>96</v>
      </c>
      <c r="AP36" s="5">
        <v>327</v>
      </c>
      <c r="AQ36" s="5">
        <v>177</v>
      </c>
      <c r="AR36" s="5">
        <v>564</v>
      </c>
      <c r="AS36" s="5">
        <v>478</v>
      </c>
      <c r="AT36" s="5">
        <v>261</v>
      </c>
      <c r="AU36" s="5">
        <v>420</v>
      </c>
      <c r="AV36" s="5">
        <v>240</v>
      </c>
      <c r="AW36" s="5">
        <v>345</v>
      </c>
      <c r="AX36" s="5">
        <v>311</v>
      </c>
      <c r="AY36" s="5">
        <v>320</v>
      </c>
      <c r="AZ36" s="5">
        <v>332</v>
      </c>
      <c r="BA36" s="5">
        <v>258</v>
      </c>
      <c r="BB36" s="5">
        <v>371</v>
      </c>
      <c r="BC36" s="5">
        <v>538</v>
      </c>
      <c r="BD36" s="5">
        <v>348</v>
      </c>
      <c r="BE36" s="6">
        <v>143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2"/>
      <c r="B37" s="590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195</v>
      </c>
      <c r="W37" s="274">
        <f>SUMIF(WMS용마재고!$A:$A,"S145-05.00", WMS용마재고!$L:$L)</f>
        <v>330</v>
      </c>
      <c r="X37" s="274">
        <f>SUMIF(WMS용마재고!$A:$A,"S145-05.25", WMS용마재고!$L:$L)</f>
        <v>374</v>
      </c>
      <c r="Y37" s="274">
        <f>SUMIF(WMS용마재고!$A:$A,"S145-05.50", WMS용마재고!$L:$L)</f>
        <v>191</v>
      </c>
      <c r="Z37" s="274">
        <f>SUMIF(WMS용마재고!$A:$A,"S145-05.75", WMS용마재고!$L:$L)</f>
        <v>387</v>
      </c>
      <c r="AA37" s="274">
        <f>SUMIF(WMS용마재고!$A:$A,"S145-06.00", WMS용마재고!$L:$L)</f>
        <v>215</v>
      </c>
      <c r="AB37" s="274">
        <f>SUMIF(WMS용마재고!$A:$A,"S145-06.50", WMS용마재고!$L:$L)</f>
        <v>108</v>
      </c>
      <c r="AC37" s="274">
        <f>SUMIF(WMS용마재고!$A:$A,"S145-07.00", WMS용마재고!$L:$L)</f>
        <v>262</v>
      </c>
      <c r="AD37" s="274">
        <f>SUMIF(WMS용마재고!$A:$A,"S145-07.50", WMS용마재고!$L:$L)</f>
        <v>297</v>
      </c>
      <c r="AE37" s="274">
        <f>SUMIF(WMS용마재고!$A:$A,"S145-08.00", WMS용마재고!$L:$L)</f>
        <v>506</v>
      </c>
      <c r="AF37" s="274">
        <f>SUMIF(WMS용마재고!$A:$A,"S145-08.50", WMS용마재고!$L:$L)</f>
        <v>275</v>
      </c>
      <c r="AG37" s="274">
        <f>SUMIF(WMS용마재고!$A:$A,"S145-09.00", WMS용마재고!$L:$L)</f>
        <v>170</v>
      </c>
      <c r="AH37" s="274">
        <f>SUMIF(WMS용마재고!$A:$A,"S145-09.50", WMS용마재고!$L:$L)</f>
        <v>409</v>
      </c>
      <c r="AI37" s="274">
        <f>SUMIF(WMS용마재고!$A:$A,"S145-10.00", WMS용마재고!$L:$L)</f>
        <v>160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195</v>
      </c>
      <c r="AO37" s="5">
        <v>335</v>
      </c>
      <c r="AP37" s="5">
        <v>374</v>
      </c>
      <c r="AQ37" s="5">
        <v>191</v>
      </c>
      <c r="AR37" s="5">
        <v>387</v>
      </c>
      <c r="AS37" s="5">
        <v>215</v>
      </c>
      <c r="AT37" s="5">
        <v>108</v>
      </c>
      <c r="AU37" s="5">
        <v>262</v>
      </c>
      <c r="AV37" s="5">
        <v>297</v>
      </c>
      <c r="AW37" s="5">
        <v>506</v>
      </c>
      <c r="AX37" s="5">
        <v>275</v>
      </c>
      <c r="AY37" s="5">
        <v>170</v>
      </c>
      <c r="AZ37" s="5">
        <v>409</v>
      </c>
      <c r="BA37" s="5">
        <v>160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4">
        <v>19</v>
      </c>
      <c r="B38" s="592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372</v>
      </c>
      <c r="W38" s="269">
        <f>SUMIF(WMS용마재고!$A:$A,"S155-00.50", WMS용마재고!$L:$L)</f>
        <v>225</v>
      </c>
      <c r="X38" s="269">
        <f>SUMIF(WMS용마재고!$A:$A,"S155-00.75", WMS용마재고!$L:$L)</f>
        <v>116</v>
      </c>
      <c r="Y38" s="269">
        <f>SUMIF(WMS용마재고!$A:$A,"S155-01.00", WMS용마재고!$L:$L)</f>
        <v>174</v>
      </c>
      <c r="Z38" s="269">
        <f>SUMIF(WMS용마재고!$A:$A,"S155-01.25", WMS용마재고!$L:$L)</f>
        <v>262</v>
      </c>
      <c r="AA38" s="269">
        <f>SUMIF(WMS용마재고!$A:$A,"S155-01.50", WMS용마재고!$L:$L)</f>
        <v>457</v>
      </c>
      <c r="AB38" s="269">
        <f>SUMIF(WMS용마재고!$A:$A,"S155-01.75", WMS용마재고!$L:$L)</f>
        <v>427</v>
      </c>
      <c r="AC38" s="269">
        <f>SUMIF(WMS용마재고!$A:$A,"S155-02.00", WMS용마재고!$L:$L)</f>
        <v>709</v>
      </c>
      <c r="AD38" s="269">
        <f>SUMIF(WMS용마재고!$A:$A,"S155-02.25", WMS용마재고!$L:$L)</f>
        <v>540</v>
      </c>
      <c r="AE38" s="269">
        <f>SUMIF(WMS용마재고!$A:$A,"S155-02.50", WMS용마재고!$L:$L)</f>
        <v>364</v>
      </c>
      <c r="AF38" s="269">
        <f>SUMIF(WMS용마재고!$A:$A,"S155-02.75", WMS용마재고!$L:$L)</f>
        <v>645</v>
      </c>
      <c r="AG38" s="269">
        <f>SUMIF(WMS용마재고!$A:$A,"S155-03.00", WMS용마재고!$L:$L)</f>
        <v>519</v>
      </c>
      <c r="AH38" s="269">
        <f>SUMIF(WMS용마재고!$A:$A,"S155-03.25", WMS용마재고!$L:$L)</f>
        <v>323</v>
      </c>
      <c r="AI38" s="269">
        <f>SUMIF(WMS용마재고!$A:$A,"S155-03.50", WMS용마재고!$L:$L)</f>
        <v>688</v>
      </c>
      <c r="AJ38" s="269">
        <f>SUMIF(WMS용마재고!$A:$A,"S155-03.75", WMS용마재고!$L:$L)</f>
        <v>784</v>
      </c>
      <c r="AK38" s="269">
        <f>SUMIF(WMS용마재고!$A:$A,"S155-04.00", WMS용마재고!$L:$L)</f>
        <v>583</v>
      </c>
      <c r="AL38" s="269">
        <f>SUMIF(WMS용마재고!$A:$A,"S155-04.25", WMS용마재고!$L:$L)</f>
        <v>370</v>
      </c>
      <c r="AM38" s="323">
        <f>SUMIF(WMS용마재고!$A:$A,"S155-04.50", WMS용마재고!$L:$L)</f>
        <v>378</v>
      </c>
      <c r="AN38" s="9">
        <v>377</v>
      </c>
      <c r="AO38" s="5">
        <v>225</v>
      </c>
      <c r="AP38" s="5">
        <v>116</v>
      </c>
      <c r="AQ38" s="5">
        <v>179</v>
      </c>
      <c r="AR38" s="5">
        <v>267</v>
      </c>
      <c r="AS38" s="5">
        <v>462</v>
      </c>
      <c r="AT38" s="5">
        <v>432</v>
      </c>
      <c r="AU38" s="5">
        <v>714</v>
      </c>
      <c r="AV38" s="5">
        <v>545</v>
      </c>
      <c r="AW38" s="5">
        <v>369</v>
      </c>
      <c r="AX38" s="5">
        <v>650</v>
      </c>
      <c r="AY38" s="5">
        <v>524</v>
      </c>
      <c r="AZ38" s="5">
        <v>328</v>
      </c>
      <c r="BA38" s="5">
        <v>693</v>
      </c>
      <c r="BB38" s="5">
        <v>789</v>
      </c>
      <c r="BC38" s="5">
        <v>588</v>
      </c>
      <c r="BD38" s="5">
        <v>375</v>
      </c>
      <c r="BE38" s="6">
        <v>383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5"/>
      <c r="B39" s="586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532</v>
      </c>
      <c r="W39" s="274">
        <f>SUMIF(WMS용마재고!$A:$A,"S155-05.00", WMS용마재고!$L:$L)</f>
        <v>557</v>
      </c>
      <c r="X39" s="274">
        <f>SUMIF(WMS용마재고!$A:$A,"S155-05.25", WMS용마재고!$L:$L)</f>
        <v>218</v>
      </c>
      <c r="Y39" s="274">
        <f>SUMIF(WMS용마재고!$A:$A,"S155-05.50", WMS용마재고!$L:$L)</f>
        <v>506</v>
      </c>
      <c r="Z39" s="274">
        <f>SUMIF(WMS용마재고!$A:$A,"S155-05.75", WMS용마재고!$L:$L)</f>
        <v>101</v>
      </c>
      <c r="AA39" s="274">
        <f>SUMIF(WMS용마재고!$A:$A,"S155-06.00", WMS용마재고!$L:$L)</f>
        <v>300</v>
      </c>
      <c r="AB39" s="274">
        <f>SUMIF(WMS용마재고!$A:$A,"S155-06.50", WMS용마재고!$L:$L)</f>
        <v>417</v>
      </c>
      <c r="AC39" s="274">
        <f>SUMIF(WMS용마재고!$A:$A,"S155-07.00", WMS용마재고!$L:$L)</f>
        <v>534</v>
      </c>
      <c r="AD39" s="274">
        <f>SUMIF(WMS용마재고!$A:$A,"S155-07.50", WMS용마재고!$L:$L)</f>
        <v>264</v>
      </c>
      <c r="AE39" s="274">
        <f>SUMIF(WMS용마재고!$A:$A,"S155-08.00", WMS용마재고!$L:$L)</f>
        <v>310</v>
      </c>
      <c r="AF39" s="274">
        <f>SUMIF(WMS용마재고!$A:$A,"S155-08.50", WMS용마재고!$L:$L)</f>
        <v>311</v>
      </c>
      <c r="AG39" s="274">
        <f>SUMIF(WMS용마재고!$A:$A,"S155-09.00", WMS용마재고!$L:$L)</f>
        <v>291</v>
      </c>
      <c r="AH39" s="274">
        <f>SUMIF(WMS용마재고!$A:$A,"S155-09.50", WMS용마재고!$L:$L)</f>
        <v>83</v>
      </c>
      <c r="AI39" s="274">
        <f>SUMIF(WMS용마재고!$A:$A,"S155-10.00", WMS용마재고!$L:$L)</f>
        <v>183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537</v>
      </c>
      <c r="AO39" s="5">
        <v>562</v>
      </c>
      <c r="AP39" s="5">
        <v>223</v>
      </c>
      <c r="AQ39" s="5">
        <v>511</v>
      </c>
      <c r="AR39" s="5">
        <v>106</v>
      </c>
      <c r="AS39" s="5">
        <v>305</v>
      </c>
      <c r="AT39" s="5">
        <v>422</v>
      </c>
      <c r="AU39" s="5">
        <v>539</v>
      </c>
      <c r="AV39" s="5">
        <v>264</v>
      </c>
      <c r="AW39" s="5">
        <v>310</v>
      </c>
      <c r="AX39" s="5">
        <v>311</v>
      </c>
      <c r="AY39" s="5">
        <v>291</v>
      </c>
      <c r="AZ39" s="5">
        <v>83</v>
      </c>
      <c r="BA39" s="5">
        <v>183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1">
        <v>20</v>
      </c>
      <c r="B40" s="589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287</v>
      </c>
      <c r="W40" s="269">
        <f>SUMIF(WMS용마재고!$A:$A,"S172-00.50", WMS용마재고!$L:$L)</f>
        <v>537</v>
      </c>
      <c r="X40" s="269">
        <f>SUMIF(WMS용마재고!$A:$A,"S172-00.75", WMS용마재고!$L:$L)</f>
        <v>95</v>
      </c>
      <c r="Y40" s="269">
        <f>SUMIF(WMS용마재고!$A:$A,"S172-01.00", WMS용마재고!$L:$L)</f>
        <v>342</v>
      </c>
      <c r="Z40" s="269">
        <f>SUMIF(WMS용마재고!$A:$A,"S172-01.25", WMS용마재고!$L:$L)</f>
        <v>103</v>
      </c>
      <c r="AA40" s="269">
        <f>SUMIF(WMS용마재고!$A:$A,"S172-01.50", WMS용마재고!$L:$L)</f>
        <v>312</v>
      </c>
      <c r="AB40" s="269">
        <f>SUMIF(WMS용마재고!$A:$A,"S172-01.75", WMS용마재고!$L:$L)</f>
        <v>349</v>
      </c>
      <c r="AC40" s="269">
        <f>SUMIF(WMS용마재고!$A:$A,"S172-02.00", WMS용마재고!$L:$L)</f>
        <v>431</v>
      </c>
      <c r="AD40" s="269">
        <f>SUMIF(WMS용마재고!$A:$A,"S172-02.25", WMS용마재고!$L:$L)</f>
        <v>347</v>
      </c>
      <c r="AE40" s="269">
        <f>SUMIF(WMS용마재고!$A:$A,"S172-02.50", WMS용마재고!$L:$L)</f>
        <v>123</v>
      </c>
      <c r="AF40" s="269">
        <f>SUMIF(WMS용마재고!$A:$A,"S172-02.75", WMS용마재고!$L:$L)</f>
        <v>269</v>
      </c>
      <c r="AG40" s="269">
        <f>SUMIF(WMS용마재고!$A:$A,"S172-03.00", WMS용마재고!$L:$L)</f>
        <v>376</v>
      </c>
      <c r="AH40" s="269">
        <f>SUMIF(WMS용마재고!$A:$A,"S172-03.25", WMS용마재고!$L:$L)</f>
        <v>18</v>
      </c>
      <c r="AI40" s="269">
        <f>SUMIF(WMS용마재고!$A:$A,"S172-03.50", WMS용마재고!$L:$L)</f>
        <v>470</v>
      </c>
      <c r="AJ40" s="269">
        <f>SUMIF(WMS용마재고!$A:$A,"S172-03.75", WMS용마재고!$L:$L)</f>
        <v>361</v>
      </c>
      <c r="AK40" s="269">
        <f>SUMIF(WMS용마재고!$A:$A,"S172-04.00", WMS용마재고!$L:$L)</f>
        <v>18</v>
      </c>
      <c r="AL40" s="269">
        <f>SUMIF(WMS용마재고!$A:$A,"S172-04.25", WMS용마재고!$L:$L)</f>
        <v>532</v>
      </c>
      <c r="AM40" s="323">
        <f>SUMIF(WMS용마재고!$A:$A,"S172-04.50", WMS용마재고!$L:$L)</f>
        <v>335</v>
      </c>
      <c r="AN40" s="9">
        <v>287</v>
      </c>
      <c r="AO40" s="5">
        <v>537</v>
      </c>
      <c r="AP40" s="5">
        <v>95</v>
      </c>
      <c r="AQ40" s="5">
        <v>342</v>
      </c>
      <c r="AR40" s="5">
        <v>103</v>
      </c>
      <c r="AS40" s="5">
        <v>312</v>
      </c>
      <c r="AT40" s="5">
        <v>349</v>
      </c>
      <c r="AU40" s="5">
        <v>431</v>
      </c>
      <c r="AV40" s="5">
        <v>347</v>
      </c>
      <c r="AW40" s="5">
        <v>123</v>
      </c>
      <c r="AX40" s="5">
        <v>269</v>
      </c>
      <c r="AY40" s="5">
        <v>376</v>
      </c>
      <c r="AZ40" s="5">
        <v>18</v>
      </c>
      <c r="BA40" s="5">
        <v>470</v>
      </c>
      <c r="BB40" s="5">
        <v>361</v>
      </c>
      <c r="BC40" s="5">
        <v>18</v>
      </c>
      <c r="BD40" s="5">
        <v>532</v>
      </c>
      <c r="BE40" s="6">
        <v>335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2"/>
      <c r="B41" s="590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1697</v>
      </c>
      <c r="W41" s="274">
        <f>SUMIF(WMS용마재고!$A:$A,"S172-05.00", WMS용마재고!$L:$L)</f>
        <v>106</v>
      </c>
      <c r="X41" s="274">
        <f>SUMIF(WMS용마재고!$A:$A,"S172-05.25", WMS용마재고!$L:$L)</f>
        <v>1076</v>
      </c>
      <c r="Y41" s="274">
        <f>SUMIF(WMS용마재고!$A:$A,"S172-05.50", WMS용마재고!$L:$L)</f>
        <v>43</v>
      </c>
      <c r="Z41" s="274">
        <f>SUMIF(WMS용마재고!$A:$A,"S172-05.75", WMS용마재고!$L:$L)</f>
        <v>21</v>
      </c>
      <c r="AA41" s="274">
        <f>SUMIF(WMS용마재고!$A:$A,"S172-06.00", WMS용마재고!$L:$L)</f>
        <v>191</v>
      </c>
      <c r="AB41" s="274">
        <f>SUMIF(WMS용마재고!$A:$A,"S172-06.50", WMS용마재고!$L:$L)</f>
        <v>357</v>
      </c>
      <c r="AC41" s="274">
        <f>SUMIF(WMS용마재고!$A:$A,"S172-07.00", WMS용마재고!$L:$L)</f>
        <v>571</v>
      </c>
      <c r="AD41" s="274">
        <f>SUMIF(WMS용마재고!$A:$A,"S172-07.50", WMS용마재고!$L:$L)</f>
        <v>271</v>
      </c>
      <c r="AE41" s="274">
        <f>SUMIF(WMS용마재고!$A:$A,"S172-08.00", WMS용마재고!$L:$L)</f>
        <v>124</v>
      </c>
      <c r="AF41" s="274">
        <f>SUMIF(WMS용마재고!$A:$A,"S172-08.50", WMS용마재고!$L:$L)</f>
        <v>572</v>
      </c>
      <c r="AG41" s="274">
        <f>SUMIF(WMS용마재고!$A:$A,"S172-09.00", WMS용마재고!$L:$L)</f>
        <v>282</v>
      </c>
      <c r="AH41" s="274">
        <f>SUMIF(WMS용마재고!$A:$A,"S172-09.50", WMS용마재고!$L:$L)</f>
        <v>169</v>
      </c>
      <c r="AI41" s="274">
        <f>SUMIF(WMS용마재고!$A:$A,"S172-10.00", WMS용마재고!$L:$L)</f>
        <v>309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1697</v>
      </c>
      <c r="AO41" s="5">
        <v>106</v>
      </c>
      <c r="AP41" s="5">
        <v>1076</v>
      </c>
      <c r="AQ41" s="5">
        <v>43</v>
      </c>
      <c r="AR41" s="5">
        <v>21</v>
      </c>
      <c r="AS41" s="5">
        <v>191</v>
      </c>
      <c r="AT41" s="5">
        <v>357</v>
      </c>
      <c r="AU41" s="5">
        <v>571</v>
      </c>
      <c r="AV41" s="5">
        <v>271</v>
      </c>
      <c r="AW41" s="5">
        <v>124</v>
      </c>
      <c r="AX41" s="5">
        <v>572</v>
      </c>
      <c r="AY41" s="5">
        <v>282</v>
      </c>
      <c r="AZ41" s="5">
        <v>169</v>
      </c>
      <c r="BA41" s="5">
        <v>309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4">
        <v>21</v>
      </c>
      <c r="B42" s="592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320</v>
      </c>
      <c r="W42" s="269">
        <f>SUMIF(WMS용마재고!$A:$A,"S173-00.50", WMS용마재고!$L:$L)</f>
        <v>488</v>
      </c>
      <c r="X42" s="269">
        <f>SUMIF(WMS용마재고!$A:$A,"S173-00.75", WMS용마재고!$L:$L)</f>
        <v>259</v>
      </c>
      <c r="Y42" s="269">
        <f>SUMIF(WMS용마재고!$A:$A,"S173-01.00", WMS용마재고!$L:$L)</f>
        <v>259</v>
      </c>
      <c r="Z42" s="269">
        <f>SUMIF(WMS용마재고!$A:$A,"S173-01.25", WMS용마재고!$L:$L)</f>
        <v>421</v>
      </c>
      <c r="AA42" s="269">
        <f>SUMIF(WMS용마재고!$A:$A,"S173-01.50", WMS용마재고!$L:$L)</f>
        <v>456</v>
      </c>
      <c r="AB42" s="269">
        <f>SUMIF(WMS용마재고!$A:$A,"S173-01.75", WMS용마재고!$L:$L)</f>
        <v>335</v>
      </c>
      <c r="AC42" s="269">
        <f>SUMIF(WMS용마재고!$A:$A,"S173-02.00", WMS용마재고!$L:$L)</f>
        <v>491</v>
      </c>
      <c r="AD42" s="269">
        <f>SUMIF(WMS용마재고!$A:$A,"S173-02.25", WMS용마재고!$L:$L)</f>
        <v>321</v>
      </c>
      <c r="AE42" s="269">
        <f>SUMIF(WMS용마재고!$A:$A,"S173-02.50", WMS용마재고!$L:$L)</f>
        <v>557</v>
      </c>
      <c r="AF42" s="269">
        <f>SUMIF(WMS용마재고!$A:$A,"S173-02.75", WMS용마재고!$L:$L)</f>
        <v>363</v>
      </c>
      <c r="AG42" s="269">
        <f>SUMIF(WMS용마재고!$A:$A,"S173-03.00", WMS용마재고!$L:$L)</f>
        <v>742</v>
      </c>
      <c r="AH42" s="269">
        <f>SUMIF(WMS용마재고!$A:$A,"S173-03.25", WMS용마재고!$L:$L)</f>
        <v>591</v>
      </c>
      <c r="AI42" s="269">
        <f>SUMIF(WMS용마재고!$A:$A,"S173-03.50", WMS용마재고!$L:$L)</f>
        <v>271</v>
      </c>
      <c r="AJ42" s="269">
        <f>SUMIF(WMS용마재고!$A:$A,"S173-03.75", WMS용마재고!$L:$L)</f>
        <v>359</v>
      </c>
      <c r="AK42" s="269">
        <f>SUMIF(WMS용마재고!$A:$A,"S173-04.00", WMS용마재고!$L:$L)</f>
        <v>96</v>
      </c>
      <c r="AL42" s="269">
        <f>SUMIF(WMS용마재고!$A:$A,"S173-04.25", WMS용마재고!$L:$L)</f>
        <v>335</v>
      </c>
      <c r="AM42" s="323">
        <f>SUMIF(WMS용마재고!$A:$A,"S173-04.50", WMS용마재고!$L:$L)</f>
        <v>436</v>
      </c>
      <c r="AN42" s="9">
        <v>320</v>
      </c>
      <c r="AO42" s="5">
        <v>488</v>
      </c>
      <c r="AP42" s="5">
        <v>259</v>
      </c>
      <c r="AQ42" s="5">
        <v>259</v>
      </c>
      <c r="AR42" s="5">
        <v>421</v>
      </c>
      <c r="AS42" s="5">
        <v>456</v>
      </c>
      <c r="AT42" s="5">
        <v>335</v>
      </c>
      <c r="AU42" s="5">
        <v>491</v>
      </c>
      <c r="AV42" s="5">
        <v>321</v>
      </c>
      <c r="AW42" s="5">
        <v>557</v>
      </c>
      <c r="AX42" s="5">
        <v>363</v>
      </c>
      <c r="AY42" s="5">
        <v>742</v>
      </c>
      <c r="AZ42" s="5">
        <v>591</v>
      </c>
      <c r="BA42" s="5">
        <v>271</v>
      </c>
      <c r="BB42" s="5">
        <v>359</v>
      </c>
      <c r="BC42" s="5">
        <v>96</v>
      </c>
      <c r="BD42" s="5">
        <v>335</v>
      </c>
      <c r="BE42" s="6">
        <v>436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5"/>
      <c r="B43" s="586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350</v>
      </c>
      <c r="W43" s="274">
        <f>SUMIF(WMS용마재고!$A:$A,"S173-05.00", WMS용마재고!$L:$L)</f>
        <v>288</v>
      </c>
      <c r="X43" s="274">
        <f>SUMIF(WMS용마재고!$A:$A,"S173-05.25", WMS용마재고!$L:$L)</f>
        <v>183</v>
      </c>
      <c r="Y43" s="274">
        <f>SUMIF(WMS용마재고!$A:$A,"S173-05.50", WMS용마재고!$L:$L)</f>
        <v>480</v>
      </c>
      <c r="Z43" s="274">
        <f>SUMIF(WMS용마재고!$A:$A,"S173-05.75", WMS용마재고!$L:$L)</f>
        <v>226</v>
      </c>
      <c r="AA43" s="274">
        <f>SUMIF(WMS용마재고!$A:$A,"S173-06.00", WMS용마재고!$L:$L)</f>
        <v>281</v>
      </c>
      <c r="AB43" s="274">
        <f>SUMIF(WMS용마재고!$A:$A,"S173-06.50", WMS용마재고!$L:$L)</f>
        <v>385</v>
      </c>
      <c r="AC43" s="274">
        <f>SUMIF(WMS용마재고!$A:$A,"S173-07.00", WMS용마재고!$L:$L)</f>
        <v>230</v>
      </c>
      <c r="AD43" s="274">
        <f>SUMIF(WMS용마재고!$A:$A,"S173-07.50", WMS용마재고!$L:$L)</f>
        <v>200</v>
      </c>
      <c r="AE43" s="274">
        <f>SUMIF(WMS용마재고!$A:$A,"S173-08.00", WMS용마재고!$L:$L)</f>
        <v>267</v>
      </c>
      <c r="AF43" s="274">
        <f>SUMIF(WMS용마재고!$A:$A,"S173-08.50", WMS용마재고!$L:$L)</f>
        <v>73</v>
      </c>
      <c r="AG43" s="274">
        <f>SUMIF(WMS용마재고!$A:$A,"S173-09.00", WMS용마재고!$L:$L)</f>
        <v>71</v>
      </c>
      <c r="AH43" s="274">
        <f>SUMIF(WMS용마재고!$A:$A,"S173-09.50", WMS용마재고!$L:$L)</f>
        <v>111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350</v>
      </c>
      <c r="AO43" s="5">
        <v>288</v>
      </c>
      <c r="AP43" s="5">
        <v>183</v>
      </c>
      <c r="AQ43" s="5">
        <v>480</v>
      </c>
      <c r="AR43" s="5">
        <v>226</v>
      </c>
      <c r="AS43" s="5">
        <v>281</v>
      </c>
      <c r="AT43" s="5">
        <v>385</v>
      </c>
      <c r="AU43" s="5">
        <v>230</v>
      </c>
      <c r="AV43" s="5">
        <v>200</v>
      </c>
      <c r="AW43" s="5">
        <v>267</v>
      </c>
      <c r="AX43" s="5">
        <v>73</v>
      </c>
      <c r="AY43" s="5">
        <v>71</v>
      </c>
      <c r="AZ43" s="5">
        <v>111</v>
      </c>
      <c r="BA43" s="5">
        <v>83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1">
        <v>22</v>
      </c>
      <c r="B44" s="589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334</v>
      </c>
      <c r="W44" s="259">
        <f>SUMIF(WMS용마재고!$A:$A,"S149-00.50", WMS용마재고!$L:$L)</f>
        <v>111</v>
      </c>
      <c r="X44" s="259">
        <f>SUMIF(WMS용마재고!$A:$A,"S149-00.75", WMS용마재고!$L:$L)</f>
        <v>87</v>
      </c>
      <c r="Y44" s="259">
        <f>SUMIF(WMS용마재고!$A:$A,"S149-01.00", WMS용마재고!$L:$L)</f>
        <v>243</v>
      </c>
      <c r="Z44" s="259">
        <f>SUMIF(WMS용마재고!$A:$A,"S149-01.25", WMS용마재고!$L:$L)</f>
        <v>117</v>
      </c>
      <c r="AA44" s="259">
        <f>SUMIF(WMS용마재고!$A:$A,"S149-01.50", WMS용마재고!$L:$L)</f>
        <v>499</v>
      </c>
      <c r="AB44" s="259">
        <f>SUMIF(WMS용마재고!$A:$A,"S149-01.75", WMS용마재고!$L:$L)</f>
        <v>233</v>
      </c>
      <c r="AC44" s="259">
        <f>SUMIF(WMS용마재고!$A:$A,"S149-02.00", WMS용마재고!$L:$L)</f>
        <v>127</v>
      </c>
      <c r="AD44" s="259">
        <f>SUMIF(WMS용마재고!$A:$A,"S149-02.25", WMS용마재고!$L:$L)</f>
        <v>148</v>
      </c>
      <c r="AE44" s="259">
        <f>SUMIF(WMS용마재고!$A:$A,"S149-02.50", WMS용마재고!$L:$L)</f>
        <v>217</v>
      </c>
      <c r="AF44" s="259">
        <f>SUMIF(WMS용마재고!$A:$A,"S149-02.75", WMS용마재고!$L:$L)</f>
        <v>117</v>
      </c>
      <c r="AG44" s="259">
        <f>SUMIF(WMS용마재고!$A:$A,"S149-03.00", WMS용마재고!$L:$L)</f>
        <v>130</v>
      </c>
      <c r="AH44" s="259">
        <f>SUMIF(WMS용마재고!$A:$A,"S149-03.25", WMS용마재고!$L:$L)</f>
        <v>268</v>
      </c>
      <c r="AI44" s="259">
        <f>SUMIF(WMS용마재고!$A:$A,"S149-03.50", WMS용마재고!$L:$L)</f>
        <v>238</v>
      </c>
      <c r="AJ44" s="259">
        <f>SUMIF(WMS용마재고!$A:$A,"S149-03.75", WMS용마재고!$L:$L)</f>
        <v>206</v>
      </c>
      <c r="AK44" s="259">
        <f>SUMIF(WMS용마재고!$A:$A,"S149-04.00", WMS용마재고!$L:$L)</f>
        <v>193</v>
      </c>
      <c r="AL44" s="259">
        <f>SUMIF(WMS용마재고!$A:$A,"S149-04.25", WMS용마재고!$L:$L)</f>
        <v>128</v>
      </c>
      <c r="AM44" s="317">
        <f>SUMIF(WMS용마재고!$A:$A,"S149-04.50", WMS용마재고!$L:$L)</f>
        <v>103</v>
      </c>
      <c r="AN44" s="9">
        <v>334</v>
      </c>
      <c r="AO44" s="5">
        <v>111</v>
      </c>
      <c r="AP44" s="5">
        <v>87</v>
      </c>
      <c r="AQ44" s="5">
        <v>243</v>
      </c>
      <c r="AR44" s="5">
        <v>117</v>
      </c>
      <c r="AS44" s="5">
        <v>499</v>
      </c>
      <c r="AT44" s="5">
        <v>233</v>
      </c>
      <c r="AU44" s="5">
        <v>127</v>
      </c>
      <c r="AV44" s="5">
        <v>148</v>
      </c>
      <c r="AW44" s="5">
        <v>217</v>
      </c>
      <c r="AX44" s="5">
        <v>117</v>
      </c>
      <c r="AY44" s="5">
        <v>130</v>
      </c>
      <c r="AZ44" s="5">
        <v>268</v>
      </c>
      <c r="BA44" s="5">
        <v>238</v>
      </c>
      <c r="BB44" s="5">
        <v>206</v>
      </c>
      <c r="BC44" s="5">
        <v>193</v>
      </c>
      <c r="BD44" s="5">
        <v>128</v>
      </c>
      <c r="BE44" s="6">
        <v>103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59"/>
      <c r="B45" s="660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112</v>
      </c>
      <c r="W45" s="264">
        <f>SUMIF(WMS용마재고!$A:$A,"S149-05.00", WMS용마재고!$L:$L)</f>
        <v>350</v>
      </c>
      <c r="X45" s="264">
        <f>SUMIF(WMS용마재고!$A:$A,"S149-05.25", WMS용마재고!$L:$L)</f>
        <v>126</v>
      </c>
      <c r="Y45" s="264">
        <f>SUMIF(WMS용마재고!$A:$A,"S149-05.50", WMS용마재고!$L:$L)</f>
        <v>145</v>
      </c>
      <c r="Z45" s="264">
        <f>SUMIF(WMS용마재고!$A:$A,"S149-05.75", WMS용마재고!$L:$L)</f>
        <v>150</v>
      </c>
      <c r="AA45" s="264">
        <f>SUMIF(WMS용마재고!$A:$A,"S149-06.00", WMS용마재고!$L:$L)</f>
        <v>253</v>
      </c>
      <c r="AB45" s="264">
        <f>SUMIF(WMS용마재고!$A:$A,"S149-06.50", WMS용마재고!$L:$L)</f>
        <v>202</v>
      </c>
      <c r="AC45" s="264">
        <f>SUMIF(WMS용마재고!$A:$A,"S149-07.00", WMS용마재고!$L:$L)</f>
        <v>67</v>
      </c>
      <c r="AD45" s="264">
        <f>SUMIF(WMS용마재고!$A:$A,"S149-07.50", WMS용마재고!$L:$L)</f>
        <v>240</v>
      </c>
      <c r="AE45" s="264">
        <f>SUMIF(WMS용마재고!$A:$A,"S149-08.00", WMS용마재고!$L:$L)</f>
        <v>70</v>
      </c>
      <c r="AF45" s="264">
        <f>SUMIF(WMS용마재고!$A:$A,"S149-08.50", WMS용마재고!$L:$L)</f>
        <v>55</v>
      </c>
      <c r="AG45" s="264">
        <f>SUMIF(WMS용마재고!$A:$A,"S149-09.00", WMS용마재고!$L:$L)</f>
        <v>306</v>
      </c>
      <c r="AH45" s="264">
        <f>SUMIF(WMS용마재고!$A:$A,"S149-09.50", WMS용마재고!$L:$L)</f>
        <v>135</v>
      </c>
      <c r="AI45" s="264">
        <f>SUMIF(WMS용마재고!$A:$A,"S149-10.00", WMS용마재고!$L:$L)</f>
        <v>135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112</v>
      </c>
      <c r="AO45" s="5">
        <v>350</v>
      </c>
      <c r="AP45" s="5">
        <v>126</v>
      </c>
      <c r="AQ45" s="5">
        <v>145</v>
      </c>
      <c r="AR45" s="5">
        <v>150</v>
      </c>
      <c r="AS45" s="5">
        <v>253</v>
      </c>
      <c r="AT45" s="5">
        <v>202</v>
      </c>
      <c r="AU45" s="5">
        <v>67</v>
      </c>
      <c r="AV45" s="5">
        <v>240</v>
      </c>
      <c r="AW45" s="5">
        <v>70</v>
      </c>
      <c r="AX45" s="5">
        <v>55</v>
      </c>
      <c r="AY45" s="5">
        <v>306</v>
      </c>
      <c r="AZ45" s="5">
        <v>135</v>
      </c>
      <c r="BA45" s="5">
        <v>135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1">
        <v>22</v>
      </c>
      <c r="B46" s="589" t="s">
        <v>4980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411</v>
      </c>
      <c r="W46" s="259">
        <f>SUMIF(WMS용마재고!$A:$A,"s162-00.50", WMS용마재고!$L:$L)</f>
        <v>410</v>
      </c>
      <c r="X46" s="259">
        <f>SUMIF(WMS용마재고!$A:$A,"s162-00.75", WMS용마재고!$L:$L)</f>
        <v>13</v>
      </c>
      <c r="Y46" s="259">
        <f>SUMIF(WMS용마재고!$A:$A,"s162-01.00", WMS용마재고!$L:$L)</f>
        <v>165</v>
      </c>
      <c r="Z46" s="259">
        <f>SUMIF(WMS용마재고!$A:$A,"s162-01.25", WMS용마재고!$L:$L)</f>
        <v>193</v>
      </c>
      <c r="AA46" s="259">
        <f>SUMIF(WMS용마재고!$A:$A,"s162-01.50", WMS용마재고!$L:$L)</f>
        <v>177</v>
      </c>
      <c r="AB46" s="259">
        <f>SUMIF(WMS용마재고!$A:$A,"s162-01.75", WMS용마재고!$L:$L)</f>
        <v>128</v>
      </c>
      <c r="AC46" s="259">
        <f>SUMIF(WMS용마재고!$A:$A,"s162-02.00", WMS용마재고!$L:$L)</f>
        <v>187</v>
      </c>
      <c r="AD46" s="259">
        <f>SUMIF(WMS용마재고!$A:$A,"s162-02.25", WMS용마재고!$L:$L)</f>
        <v>209</v>
      </c>
      <c r="AE46" s="259">
        <f>SUMIF(WMS용마재고!$A:$A,"s162-02.50", WMS용마재고!$L:$L)</f>
        <v>164</v>
      </c>
      <c r="AF46" s="259">
        <f>SUMIF(WMS용마재고!$A:$A,"s162-02.75", WMS용마재고!$L:$L)</f>
        <v>232</v>
      </c>
      <c r="AG46" s="259">
        <f>SUMIF(WMS용마재고!$A:$A,"s162-03.00", WMS용마재고!$L:$L)</f>
        <v>118</v>
      </c>
      <c r="AH46" s="259">
        <f>SUMIF(WMS용마재고!$A:$A,"s162-03.25", WMS용마재고!$L:$L)</f>
        <v>325</v>
      </c>
      <c r="AI46" s="259">
        <f>SUMIF(WMS용마재고!$A:$A,"s162-03.50", WMS용마재고!$L:$L)</f>
        <v>157</v>
      </c>
      <c r="AJ46" s="259">
        <f>SUMIF(WMS용마재고!$A:$A,"s162-03.75", WMS용마재고!$L:$L)</f>
        <v>93</v>
      </c>
      <c r="AK46" s="259">
        <f>SUMIF(WMS용마재고!$A:$A,"s162-04.00", WMS용마재고!$L:$L)</f>
        <v>126</v>
      </c>
      <c r="AL46" s="259">
        <f>SUMIF(WMS용마재고!$A:$A,"s162-04.25", WMS용마재고!$L:$L)</f>
        <v>228</v>
      </c>
      <c r="AM46" s="317">
        <f>SUMIF(WMS용마재고!$A:$A,"s162-04.50", WMS용마재고!$L:$L)</f>
        <v>178</v>
      </c>
      <c r="AN46" s="9">
        <v>411</v>
      </c>
      <c r="AO46" s="5">
        <v>410</v>
      </c>
      <c r="AP46" s="5">
        <v>13</v>
      </c>
      <c r="AQ46" s="5">
        <v>165</v>
      </c>
      <c r="AR46" s="5">
        <v>193</v>
      </c>
      <c r="AS46" s="5">
        <v>177</v>
      </c>
      <c r="AT46" s="5">
        <v>128</v>
      </c>
      <c r="AU46" s="5">
        <v>187</v>
      </c>
      <c r="AV46" s="5">
        <v>209</v>
      </c>
      <c r="AW46" s="5">
        <v>164</v>
      </c>
      <c r="AX46" s="5">
        <v>232</v>
      </c>
      <c r="AY46" s="5">
        <v>118</v>
      </c>
      <c r="AZ46" s="5">
        <v>325</v>
      </c>
      <c r="BA46" s="5">
        <v>157</v>
      </c>
      <c r="BB46" s="5">
        <v>93</v>
      </c>
      <c r="BC46" s="5">
        <v>126</v>
      </c>
      <c r="BD46" s="5">
        <v>228</v>
      </c>
      <c r="BE46" s="6">
        <v>178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59"/>
      <c r="B47" s="660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128</v>
      </c>
      <c r="W47" s="264">
        <f>SUMIF(WMS용마재고!$A:$A,"s162-05.00", WMS용마재고!$L:$L)</f>
        <v>140</v>
      </c>
      <c r="X47" s="264">
        <f>SUMIF(WMS용마재고!$A:$A,"s162-05.25", WMS용마재고!$L:$L)</f>
        <v>435</v>
      </c>
      <c r="Y47" s="264">
        <f>SUMIF(WMS용마재고!$A:$A,"s162-05.50", WMS용마재고!$L:$L)</f>
        <v>116</v>
      </c>
      <c r="Z47" s="264">
        <f>SUMIF(WMS용마재고!$A:$A,"s162-05.75", WMS용마재고!$L:$L)</f>
        <v>123</v>
      </c>
      <c r="AA47" s="264">
        <f>SUMIF(WMS용마재고!$A:$A,"s162-06.00", WMS용마재고!$L:$L)</f>
        <v>123</v>
      </c>
      <c r="AB47" s="264">
        <f>SUMIF(WMS용마재고!$A:$A,"s162-06.50", WMS용마재고!$L:$L)</f>
        <v>226</v>
      </c>
      <c r="AC47" s="264">
        <f>SUMIF(WMS용마재고!$A:$A,"s162-07.00", WMS용마재고!$L:$L)</f>
        <v>149</v>
      </c>
      <c r="AD47" s="264">
        <f>SUMIF(WMS용마재고!$A:$A,"s162-07.50", WMS용마재고!$L:$L)</f>
        <v>237</v>
      </c>
      <c r="AE47" s="264">
        <f>SUMIF(WMS용마재고!$A:$A,"s162-08.00", WMS용마재고!$L:$L)</f>
        <v>440</v>
      </c>
      <c r="AF47" s="264">
        <f>SUMIF(WMS용마재고!$A:$A,"s162-08.50", WMS용마재고!$L:$L)</f>
        <v>64</v>
      </c>
      <c r="AG47" s="264">
        <f>SUMIF(WMS용마재고!$A:$A,"s162-09.00", WMS용마재고!$L:$L)</f>
        <v>355</v>
      </c>
      <c r="AH47" s="264">
        <f>SUMIF(WMS용마재고!$A:$A,"s162-09.50", WMS용마재고!$L:$L)</f>
        <v>67</v>
      </c>
      <c r="AI47" s="264">
        <f>SUMIF(WMS용마재고!$A:$A,"s162-10.00", WMS용마재고!$L:$L)</f>
        <v>323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128</v>
      </c>
      <c r="AO47" s="5">
        <v>140</v>
      </c>
      <c r="AP47" s="5">
        <v>435</v>
      </c>
      <c r="AQ47" s="5">
        <v>116</v>
      </c>
      <c r="AR47" s="5">
        <v>123</v>
      </c>
      <c r="AS47" s="5">
        <v>123</v>
      </c>
      <c r="AT47" s="5">
        <v>226</v>
      </c>
      <c r="AU47" s="5">
        <v>149</v>
      </c>
      <c r="AV47" s="5">
        <v>237</v>
      </c>
      <c r="AW47" s="5">
        <v>440</v>
      </c>
      <c r="AX47" s="5">
        <v>64</v>
      </c>
      <c r="AY47" s="5">
        <v>355</v>
      </c>
      <c r="AZ47" s="5">
        <v>67</v>
      </c>
      <c r="BA47" s="5">
        <v>323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50">
        <v>23</v>
      </c>
      <c r="B48" s="652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287</v>
      </c>
      <c r="W48" s="259">
        <f>SUMIF(WMS용마재고!$A:$A,"S147-00.50-0.75", WMS용마재고!$L:$L)</f>
        <v>940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183</v>
      </c>
      <c r="Z48" s="259">
        <f>SUMIF(WMS용마재고!$A:$A,"S147-01.25-0.75", WMS용마재고!$L:$L)</f>
        <v>527</v>
      </c>
      <c r="AA48" s="259">
        <f>SUMIF(WMS용마재고!$A:$A,"S147-01.50-0.75", WMS용마재고!$L:$L)</f>
        <v>137</v>
      </c>
      <c r="AB48" s="259">
        <f>SUMIF(WMS용마재고!$A:$A,"S147-01.75-0.75", WMS용마재고!$L:$L)</f>
        <v>279</v>
      </c>
      <c r="AC48" s="259">
        <f>SUMIF(WMS용마재고!$A:$A,"S147-02.00-0.75", WMS용마재고!$L:$L)</f>
        <v>116</v>
      </c>
      <c r="AD48" s="259">
        <f>SUMIF(WMS용마재고!$A:$A,"S147-02.25-0.75", WMS용마재고!$L:$L)</f>
        <v>81</v>
      </c>
      <c r="AE48" s="259">
        <f>SUMIF(WMS용마재고!$A:$A,"S147-02.50-0.75", WMS용마재고!$L:$L)</f>
        <v>123</v>
      </c>
      <c r="AF48" s="259">
        <f>SUMIF(WMS용마재고!$A:$A,"S147-02.75-0.75", WMS용마재고!$L:$L)</f>
        <v>181</v>
      </c>
      <c r="AG48" s="259">
        <f>SUMIF(WMS용마재고!$A:$A,"S147-03.00-0.75", WMS용마재고!$L:$L)</f>
        <v>152</v>
      </c>
      <c r="AH48" s="259">
        <f>SUMIF(WMS용마재고!$A:$A,"S147-03.25-0.75", WMS용마재고!$L:$L)</f>
        <v>496</v>
      </c>
      <c r="AI48" s="259">
        <f>SUMIF(WMS용마재고!$A:$A,"S147-03.50-0.75", WMS용마재고!$L:$L)</f>
        <v>392</v>
      </c>
      <c r="AJ48" s="259">
        <f>SUMIF(WMS용마재고!$A:$A,"S147-03.75-0.75", WMS용마재고!$L:$L)</f>
        <v>271</v>
      </c>
      <c r="AK48" s="259">
        <f>SUMIF(WMS용마재고!$A:$A,"S147-04.00-0.75", WMS용마재고!$L:$L)</f>
        <v>186</v>
      </c>
      <c r="AL48" s="259">
        <f>SUMIF(WMS용마재고!$A:$A,"S147-04.25-0.75", WMS용마재고!$L:$L)</f>
        <v>163</v>
      </c>
      <c r="AM48" s="317">
        <f>SUMIF(WMS용마재고!$A:$A,"S147-04.50-0.75", WMS용마재고!$L:$L)</f>
        <v>219</v>
      </c>
      <c r="AN48" s="9">
        <v>292</v>
      </c>
      <c r="AO48" s="5">
        <v>940</v>
      </c>
      <c r="AP48" s="5">
        <v>540</v>
      </c>
      <c r="AQ48" s="5">
        <v>188</v>
      </c>
      <c r="AR48" s="5">
        <v>532</v>
      </c>
      <c r="AS48" s="5">
        <v>142</v>
      </c>
      <c r="AT48" s="5">
        <v>284</v>
      </c>
      <c r="AU48" s="5">
        <v>121</v>
      </c>
      <c r="AV48" s="5">
        <v>86</v>
      </c>
      <c r="AW48" s="5">
        <v>128</v>
      </c>
      <c r="AX48" s="5">
        <v>186</v>
      </c>
      <c r="AY48" s="5">
        <v>157</v>
      </c>
      <c r="AZ48" s="5">
        <v>501</v>
      </c>
      <c r="BA48" s="5">
        <v>397</v>
      </c>
      <c r="BB48" s="5">
        <v>276</v>
      </c>
      <c r="BC48" s="5">
        <v>191</v>
      </c>
      <c r="BD48" s="5">
        <v>168</v>
      </c>
      <c r="BE48" s="6">
        <v>224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1"/>
      <c r="B49" s="653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410</v>
      </c>
      <c r="W49" s="264">
        <f>SUMIF(WMS용마재고!$A:$A,"S147-05.00-0.75", WMS용마재고!$L:$L)</f>
        <v>202</v>
      </c>
      <c r="X49" s="264">
        <f>SUMIF(WMS용마재고!$A:$A,"S147-05.25-0.75", WMS용마재고!$L:$L)</f>
        <v>128</v>
      </c>
      <c r="Y49" s="264">
        <f>SUMIF(WMS용마재고!$A:$A,"S147-05.50-0.75", WMS용마재고!$L:$L)</f>
        <v>420</v>
      </c>
      <c r="Z49" s="264">
        <f>SUMIF(WMS용마재고!$A:$A,"S147-05.75-0.75", WMS용마재고!$L:$L)</f>
        <v>214</v>
      </c>
      <c r="AA49" s="264">
        <f>SUMIF(WMS용마재고!$A:$A,"S147-06.00-0.75", WMS용마재고!$L:$L)</f>
        <v>224</v>
      </c>
      <c r="AB49" s="264">
        <f>SUMIF(WMS용마재고!$A:$A,"S147-06.50-0.75", WMS용마재고!$L:$L)</f>
        <v>296</v>
      </c>
      <c r="AC49" s="264">
        <f>SUMIF(WMS용마재고!$A:$A,"S147-07.00-0.75", WMS용마재고!$L:$L)</f>
        <v>374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415</v>
      </c>
      <c r="AO49" s="5">
        <v>207</v>
      </c>
      <c r="AP49" s="5">
        <v>128</v>
      </c>
      <c r="AQ49" s="5">
        <v>420</v>
      </c>
      <c r="AR49" s="5">
        <v>214</v>
      </c>
      <c r="AS49" s="5">
        <v>224</v>
      </c>
      <c r="AT49" s="5">
        <v>296</v>
      </c>
      <c r="AU49" s="5">
        <v>374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4">
        <v>24</v>
      </c>
      <c r="B50" s="655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326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263</v>
      </c>
      <c r="Y50" s="259">
        <f>SUMIF(WMS용마재고!$A:$A,"S147-01.00-1.25", WMS용마재고!$L:$L)</f>
        <v>303</v>
      </c>
      <c r="Z50" s="259">
        <f>SUMIF(WMS용마재고!$A:$A,"S147-01.25-1.25", WMS용마재고!$L:$L)</f>
        <v>270</v>
      </c>
      <c r="AA50" s="259">
        <f>SUMIF(WMS용마재고!$A:$A,"S147-01.50-1.25", WMS용마재고!$L:$L)</f>
        <v>166</v>
      </c>
      <c r="AB50" s="259">
        <f>SUMIF(WMS용마재고!$A:$A,"S147-01.75-1.25", WMS용마재고!$L:$L)</f>
        <v>258</v>
      </c>
      <c r="AC50" s="259">
        <f>SUMIF(WMS용마재고!$A:$A,"S147-02.00-1.25", WMS용마재고!$L:$L)</f>
        <v>184</v>
      </c>
      <c r="AD50" s="259">
        <f>SUMIF(WMS용마재고!$A:$A,"S147-02.25-1.25", WMS용마재고!$L:$L)</f>
        <v>183</v>
      </c>
      <c r="AE50" s="259">
        <f>SUMIF(WMS용마재고!$A:$A,"S147-02.50-1.25", WMS용마재고!$L:$L)</f>
        <v>415</v>
      </c>
      <c r="AF50" s="259">
        <f>SUMIF(WMS용마재고!$A:$A,"S147-02.75-1.25", WMS용마재고!$L:$L)</f>
        <v>394</v>
      </c>
      <c r="AG50" s="259">
        <f>SUMIF(WMS용마재고!$A:$A,"S147-03.00-1.25", WMS용마재고!$L:$L)</f>
        <v>449</v>
      </c>
      <c r="AH50" s="259">
        <f>SUMIF(WMS용마재고!$A:$A,"S147-03.25-1.25", WMS용마재고!$L:$L)</f>
        <v>461</v>
      </c>
      <c r="AI50" s="259">
        <f>SUMIF(WMS용마재고!$A:$A,"S147-03.50-1.25", WMS용마재고!$L:$L)</f>
        <v>351</v>
      </c>
      <c r="AJ50" s="259">
        <f>SUMIF(WMS용마재고!$A:$A,"S147-03.75-1.25", WMS용마재고!$L:$L)</f>
        <v>634</v>
      </c>
      <c r="AK50" s="259">
        <f>SUMIF(WMS용마재고!$A:$A,"S147-04.00-1.25", WMS용마재고!$L:$L)</f>
        <v>462</v>
      </c>
      <c r="AL50" s="259">
        <f>SUMIF(WMS용마재고!$A:$A,"S147-04.25-1.25", WMS용마재고!$L:$L)</f>
        <v>621</v>
      </c>
      <c r="AM50" s="317">
        <f>SUMIF(WMS용마재고!$A:$A,"S147-04.50-1.25", WMS용마재고!$L:$L)</f>
        <v>553</v>
      </c>
      <c r="AN50" s="9">
        <v>331</v>
      </c>
      <c r="AO50" s="5">
        <v>397</v>
      </c>
      <c r="AP50" s="5">
        <v>263</v>
      </c>
      <c r="AQ50" s="5">
        <v>308</v>
      </c>
      <c r="AR50" s="5">
        <v>275</v>
      </c>
      <c r="AS50" s="5">
        <v>171</v>
      </c>
      <c r="AT50" s="5">
        <v>263</v>
      </c>
      <c r="AU50" s="5">
        <v>189</v>
      </c>
      <c r="AV50" s="5">
        <v>188</v>
      </c>
      <c r="AW50" s="5">
        <v>420</v>
      </c>
      <c r="AX50" s="5">
        <v>399</v>
      </c>
      <c r="AY50" s="5">
        <v>454</v>
      </c>
      <c r="AZ50" s="5">
        <v>466</v>
      </c>
      <c r="BA50" s="5">
        <v>356</v>
      </c>
      <c r="BB50" s="5">
        <v>639</v>
      </c>
      <c r="BC50" s="5">
        <v>467</v>
      </c>
      <c r="BD50" s="5">
        <v>626</v>
      </c>
      <c r="BE50" s="6">
        <v>558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1"/>
      <c r="B51" s="656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585</v>
      </c>
      <c r="W51" s="264">
        <f>SUMIF(WMS용마재고!$A:$A,"S147-05.00-1.25", WMS용마재고!$L:$L)</f>
        <v>602</v>
      </c>
      <c r="X51" s="264">
        <f>SUMIF(WMS용마재고!$A:$A,"S147-05.25-1.25", WMS용마재고!$L:$L)</f>
        <v>642</v>
      </c>
      <c r="Y51" s="264">
        <f>SUMIF(WMS용마재고!$A:$A,"S147-05.50-1.25", WMS용마재고!$L:$L)</f>
        <v>625</v>
      </c>
      <c r="Z51" s="264">
        <f>SUMIF(WMS용마재고!$A:$A,"S147-05.75-1.25", WMS용마재고!$L:$L)</f>
        <v>439</v>
      </c>
      <c r="AA51" s="264">
        <f>SUMIF(WMS용마재고!$A:$A,"S147-06.00-1.25", WMS용마재고!$L:$L)</f>
        <v>463</v>
      </c>
      <c r="AB51" s="264">
        <f>SUMIF(WMS용마재고!$A:$A,"S147-06.50-1.25", WMS용마재고!$L:$L)</f>
        <v>307</v>
      </c>
      <c r="AC51" s="264">
        <f>SUMIF(WMS용마재고!$A:$A,"S147-07.00-1.25", WMS용마재고!$L:$L)</f>
        <v>313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590</v>
      </c>
      <c r="AO51" s="5">
        <v>607</v>
      </c>
      <c r="AP51" s="5">
        <v>642</v>
      </c>
      <c r="AQ51" s="5">
        <v>625</v>
      </c>
      <c r="AR51" s="5">
        <v>439</v>
      </c>
      <c r="AS51" s="5">
        <v>463</v>
      </c>
      <c r="AT51" s="5">
        <v>307</v>
      </c>
      <c r="AU51" s="5">
        <v>313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4">
        <v>25</v>
      </c>
      <c r="B52" s="658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130</v>
      </c>
      <c r="W52" s="259">
        <f>SUMIF(WMS용마재고!$A:$A,"S147-00.50-1.75", WMS용마재고!$L:$L)</f>
        <v>251</v>
      </c>
      <c r="X52" s="259">
        <f>SUMIF(WMS용마재고!$A:$A,"S147-00.75-1.75", WMS용마재고!$L:$L)</f>
        <v>266</v>
      </c>
      <c r="Y52" s="259">
        <f>SUMIF(WMS용마재고!$A:$A,"S147-01.00-1.75", WMS용마재고!$L:$L)</f>
        <v>210</v>
      </c>
      <c r="Z52" s="259">
        <f>SUMIF(WMS용마재고!$A:$A,"S147-01.25-1.75", WMS용마재고!$L:$L)</f>
        <v>92</v>
      </c>
      <c r="AA52" s="259">
        <f>SUMIF(WMS용마재고!$A:$A,"S147-01.50-1.75", WMS용마재고!$L:$L)</f>
        <v>84</v>
      </c>
      <c r="AB52" s="259">
        <f>SUMIF(WMS용마재고!$A:$A,"S147-01.75-1.75", WMS용마재고!$L:$L)</f>
        <v>215</v>
      </c>
      <c r="AC52" s="259">
        <f>SUMIF(WMS용마재고!$A:$A,"S147-02.00-1.75", WMS용마재고!$L:$L)</f>
        <v>161</v>
      </c>
      <c r="AD52" s="259">
        <f>SUMIF(WMS용마재고!$A:$A,"S147-02.25-1.75", WMS용마재고!$L:$L)</f>
        <v>116</v>
      </c>
      <c r="AE52" s="259">
        <f>SUMIF(WMS용마재고!$A:$A,"S147-02.50-1.75", WMS용마재고!$L:$L)</f>
        <v>337</v>
      </c>
      <c r="AF52" s="259">
        <f>SUMIF(WMS용마재고!$A:$A,"S147-02.75-1.75", WMS용마재고!$L:$L)</f>
        <v>293</v>
      </c>
      <c r="AG52" s="259">
        <f>SUMIF(WMS용마재고!$A:$A,"S147-03.00-1.75", WMS용마재고!$L:$L)</f>
        <v>452</v>
      </c>
      <c r="AH52" s="259">
        <f>SUMIF(WMS용마재고!$A:$A,"S147-03.25-1.75", WMS용마재고!$L:$L)</f>
        <v>486</v>
      </c>
      <c r="AI52" s="259">
        <f>SUMIF(WMS용마재고!$A:$A,"S147-03.50-1.75", WMS용마재고!$L:$L)</f>
        <v>69</v>
      </c>
      <c r="AJ52" s="259">
        <f>SUMIF(WMS용마재고!$A:$A,"S147-03.75-1.75", WMS용마재고!$L:$L)</f>
        <v>273</v>
      </c>
      <c r="AK52" s="259">
        <f>SUMIF(WMS용마재고!$A:$A,"S147-04.00-1.75", WMS용마재고!$L:$L)</f>
        <v>206</v>
      </c>
      <c r="AL52" s="259">
        <f>SUMIF(WMS용마재고!$A:$A,"S147-04.25-1.75", WMS용마재고!$L:$L)</f>
        <v>125</v>
      </c>
      <c r="AM52" s="317">
        <f>SUMIF(WMS용마재고!$A:$A,"S147-04.50-1.75", WMS용마재고!$L:$L)</f>
        <v>440</v>
      </c>
      <c r="AN52" s="9">
        <v>135</v>
      </c>
      <c r="AO52" s="5">
        <v>251</v>
      </c>
      <c r="AP52" s="5">
        <v>266</v>
      </c>
      <c r="AQ52" s="5">
        <v>215</v>
      </c>
      <c r="AR52" s="5">
        <v>97</v>
      </c>
      <c r="AS52" s="5">
        <v>89</v>
      </c>
      <c r="AT52" s="5">
        <v>220</v>
      </c>
      <c r="AU52" s="5">
        <v>166</v>
      </c>
      <c r="AV52" s="5">
        <v>121</v>
      </c>
      <c r="AW52" s="5">
        <v>342</v>
      </c>
      <c r="AX52" s="5">
        <v>298</v>
      </c>
      <c r="AY52" s="5">
        <v>457</v>
      </c>
      <c r="AZ52" s="5">
        <v>491</v>
      </c>
      <c r="BA52" s="5">
        <v>74</v>
      </c>
      <c r="BB52" s="5">
        <v>278</v>
      </c>
      <c r="BC52" s="5">
        <v>211</v>
      </c>
      <c r="BD52" s="5">
        <v>130</v>
      </c>
      <c r="BE52" s="6">
        <v>445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7"/>
      <c r="B53" s="653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499</v>
      </c>
      <c r="W53" s="264">
        <f>SUMIF(WMS용마재고!$A:$A,"S147-05.00-1.75", WMS용마재고!$L:$L)</f>
        <v>257</v>
      </c>
      <c r="X53" s="264">
        <f>SUMIF(WMS용마재고!$A:$A,"S147-05.25-1.75", WMS용마재고!$L:$L)</f>
        <v>299</v>
      </c>
      <c r="Y53" s="264">
        <f>SUMIF(WMS용마재고!$A:$A,"S147-05.50-1.75", WMS용마재고!$L:$L)</f>
        <v>532</v>
      </c>
      <c r="Z53" s="264">
        <f>SUMIF(WMS용마재고!$A:$A,"S147-05.75-1.75", WMS용마재고!$L:$L)</f>
        <v>273</v>
      </c>
      <c r="AA53" s="264">
        <f>SUMIF(WMS용마재고!$A:$A,"S147-06.00-1.75", WMS용마재고!$L:$L)</f>
        <v>233</v>
      </c>
      <c r="AB53" s="264">
        <f>SUMIF(WMS용마재고!$A:$A,"S147-06.50-1.75", WMS용마재고!$L:$L)</f>
        <v>0</v>
      </c>
      <c r="AC53" s="264">
        <f>SUMIF(WMS용마재고!$A:$A,"S147-07.00-1.75", WMS용마재고!$L:$L)</f>
        <v>267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504</v>
      </c>
      <c r="AO53" s="5">
        <v>262</v>
      </c>
      <c r="AP53" s="5">
        <v>299</v>
      </c>
      <c r="AQ53" s="5">
        <v>532</v>
      </c>
      <c r="AR53" s="5">
        <v>273</v>
      </c>
      <c r="AS53" s="5">
        <v>233</v>
      </c>
      <c r="AT53" s="5">
        <v>0</v>
      </c>
      <c r="AU53" s="5">
        <v>267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1">
        <v>26</v>
      </c>
      <c r="B54" s="643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234</v>
      </c>
      <c r="W54" s="269">
        <f>SUMIF(WMS용마재고!$A:$A,"S154-00.50-0.75", WMS용마재고!$L:$L)</f>
        <v>356</v>
      </c>
      <c r="X54" s="269">
        <f>SUMIF(WMS용마재고!$A:$A,"S154-00.75-0.75", WMS용마재고!$L:$L)</f>
        <v>806</v>
      </c>
      <c r="Y54" s="269">
        <f>SUMIF(WMS용마재고!$A:$A,"S154-01.00-0.75", WMS용마재고!$L:$L)</f>
        <v>517</v>
      </c>
      <c r="Z54" s="269">
        <f>SUMIF(WMS용마재고!$A:$A,"S154-01.25-0.75", WMS용마재고!$L:$L)</f>
        <v>624</v>
      </c>
      <c r="AA54" s="269">
        <f>SUMIF(WMS용마재고!$A:$A,"S154-01.50-0.75", WMS용마재고!$L:$L)</f>
        <v>288</v>
      </c>
      <c r="AB54" s="269">
        <f>SUMIF(WMS용마재고!$A:$A,"S154-01.75-0.75", WMS용마재고!$L:$L)</f>
        <v>17</v>
      </c>
      <c r="AC54" s="269">
        <f>SUMIF(WMS용마재고!$A:$A,"S154-02.00-0.75", WMS용마재고!$L:$L)</f>
        <v>16</v>
      </c>
      <c r="AD54" s="269">
        <f>SUMIF(WMS용마재고!$A:$A,"S154-02.25-0.75", WMS용마재고!$L:$L)</f>
        <v>113</v>
      </c>
      <c r="AE54" s="269">
        <f>SUMIF(WMS용마재고!$A:$A,"S154-02.50-0.75", WMS용마재고!$L:$L)</f>
        <v>86</v>
      </c>
      <c r="AF54" s="269">
        <f>SUMIF(WMS용마재고!$A:$A,"S154-02.75-0.75", WMS용마재고!$L:$L)</f>
        <v>439</v>
      </c>
      <c r="AG54" s="269">
        <f>SUMIF(WMS용마재고!$A:$A,"S154-03.00-0.75", WMS용마재고!$L:$L)</f>
        <v>33</v>
      </c>
      <c r="AH54" s="269">
        <f>SUMIF(WMS용마재고!$A:$A,"S154-03.25-0.75", WMS용마재고!$L:$L)</f>
        <v>478</v>
      </c>
      <c r="AI54" s="269">
        <f>SUMIF(WMS용마재고!$A:$A,"S154-03.50-0.75", WMS용마재고!$L:$L)</f>
        <v>63</v>
      </c>
      <c r="AJ54" s="269">
        <f>SUMIF(WMS용마재고!$A:$A,"S154-03.75-0.75", WMS용마재고!$L:$L)</f>
        <v>603</v>
      </c>
      <c r="AK54" s="269">
        <f>SUMIF(WMS용마재고!$A:$A,"S154-04.00-0.75", WMS용마재고!$L:$L)</f>
        <v>206</v>
      </c>
      <c r="AL54" s="269">
        <f>SUMIF(WMS용마재고!$A:$A,"S154-04.25-0.75", WMS용마재고!$L:$L)</f>
        <v>334</v>
      </c>
      <c r="AM54" s="323">
        <f>SUMIF(WMS용마재고!$A:$A,"S154-04.50-0.75", WMS용마재고!$L:$L)</f>
        <v>153</v>
      </c>
      <c r="AN54" s="9">
        <v>239</v>
      </c>
      <c r="AO54" s="5">
        <v>356</v>
      </c>
      <c r="AP54" s="5">
        <v>806</v>
      </c>
      <c r="AQ54" s="5">
        <v>522</v>
      </c>
      <c r="AR54" s="5">
        <v>629</v>
      </c>
      <c r="AS54" s="5">
        <v>293</v>
      </c>
      <c r="AT54" s="5">
        <v>22</v>
      </c>
      <c r="AU54" s="5">
        <v>21</v>
      </c>
      <c r="AV54" s="5">
        <v>118</v>
      </c>
      <c r="AW54" s="5">
        <v>91</v>
      </c>
      <c r="AX54" s="5">
        <v>444</v>
      </c>
      <c r="AY54" s="5">
        <v>38</v>
      </c>
      <c r="AZ54" s="5">
        <v>483</v>
      </c>
      <c r="BA54" s="5">
        <v>68</v>
      </c>
      <c r="BB54" s="5">
        <v>608</v>
      </c>
      <c r="BC54" s="5">
        <v>211</v>
      </c>
      <c r="BD54" s="5">
        <v>339</v>
      </c>
      <c r="BE54" s="6">
        <v>158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2"/>
      <c r="B55" s="644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93</v>
      </c>
      <c r="W55" s="274">
        <f>SUMIF(WMS용마재고!$A:$A,"S154-05.00-0.75", WMS용마재고!$L:$L)</f>
        <v>108</v>
      </c>
      <c r="X55" s="274">
        <f>SUMIF(WMS용마재고!$A:$A,"S154-05.25-0.75", WMS용마재고!$L:$L)</f>
        <v>592</v>
      </c>
      <c r="Y55" s="274">
        <f>SUMIF(WMS용마재고!$A:$A,"S154-05.50-0.75", WMS용마재고!$L:$L)</f>
        <v>195</v>
      </c>
      <c r="Z55" s="274">
        <f>SUMIF(WMS용마재고!$A:$A,"S154-05.75-0.75", WMS용마재고!$L:$L)</f>
        <v>412</v>
      </c>
      <c r="AA55" s="274">
        <f>SUMIF(WMS용마재고!$A:$A,"S154-06.00-0.75", WMS용마재고!$L:$L)</f>
        <v>51</v>
      </c>
      <c r="AB55" s="274">
        <f>SUMIF(WMS용마재고!$A:$A,"S154-06.50-0.75", WMS용마재고!$L:$L)</f>
        <v>120</v>
      </c>
      <c r="AC55" s="274">
        <f>SUMIF(WMS용마재고!$A:$A,"S154-07.00-0.75", WMS용마재고!$L:$L)</f>
        <v>156</v>
      </c>
      <c r="AD55" s="274">
        <f>SUMIF(WMS용마재고!$A:$A,"S154-07.50-0.75", WMS용마재고!$L:$L)</f>
        <v>42</v>
      </c>
      <c r="AE55" s="274">
        <f>SUMIF(WMS용마재고!$A:$A,"S154-08.00-0.75", WMS용마재고!$L:$L)</f>
        <v>364</v>
      </c>
      <c r="AF55" s="274">
        <f>SUMIF(WMS용마재고!$A:$A,"S154-08.50-0.75", WMS용마재고!$L:$L)</f>
        <v>134</v>
      </c>
      <c r="AG55" s="274">
        <f>SUMIF(WMS용마재고!$A:$A,"S154-09.00-0.75", WMS용마재고!$L:$L)</f>
        <v>242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98</v>
      </c>
      <c r="AO55" s="5">
        <v>113</v>
      </c>
      <c r="AP55" s="5">
        <v>592</v>
      </c>
      <c r="AQ55" s="5">
        <v>195</v>
      </c>
      <c r="AR55" s="5">
        <v>412</v>
      </c>
      <c r="AS55" s="5">
        <v>51</v>
      </c>
      <c r="AT55" s="5">
        <v>120</v>
      </c>
      <c r="AU55" s="5">
        <v>156</v>
      </c>
      <c r="AV55" s="5">
        <v>42</v>
      </c>
      <c r="AW55" s="5">
        <v>364</v>
      </c>
      <c r="AX55" s="5">
        <v>134</v>
      </c>
      <c r="AY55" s="5">
        <v>242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5">
        <v>27</v>
      </c>
      <c r="B56" s="646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177</v>
      </c>
      <c r="W56" s="269">
        <f>SUMIF(WMS용마재고!$A:$A,"S154-00.50-1.25", WMS용마재고!$L:$L)</f>
        <v>767</v>
      </c>
      <c r="X56" s="269">
        <f>SUMIF(WMS용마재고!$A:$A,"S154-00.75-1.25", WMS용마재고!$L:$L)</f>
        <v>441</v>
      </c>
      <c r="Y56" s="269">
        <f>SUMIF(WMS용마재고!$A:$A,"S154-01.00-1.25", WMS용마재고!$L:$L)</f>
        <v>533</v>
      </c>
      <c r="Z56" s="269">
        <f>SUMIF(WMS용마재고!$A:$A,"S154-01.25-1.25", WMS용마재고!$L:$L)</f>
        <v>431</v>
      </c>
      <c r="AA56" s="269">
        <f>SUMIF(WMS용마재고!$A:$A,"S154-01.50-1.25", WMS용마재고!$L:$L)</f>
        <v>115</v>
      </c>
      <c r="AB56" s="269">
        <f>SUMIF(WMS용마재고!$A:$A,"S154-01.75-1.25", WMS용마재고!$L:$L)</f>
        <v>45</v>
      </c>
      <c r="AC56" s="269">
        <f>SUMIF(WMS용마재고!$A:$A,"S154-02.00-1.25", WMS용마재고!$L:$L)</f>
        <v>128</v>
      </c>
      <c r="AD56" s="269">
        <f>SUMIF(WMS용마재고!$A:$A,"S154-02.25-1.25", WMS용마재고!$L:$L)</f>
        <v>58</v>
      </c>
      <c r="AE56" s="269">
        <f>SUMIF(WMS용마재고!$A:$A,"S154-02.50-1.25", WMS용마재고!$L:$L)</f>
        <v>128</v>
      </c>
      <c r="AF56" s="269">
        <f>SUMIF(WMS용마재고!$A:$A,"S154-02.75-1.25", WMS용마재고!$L:$L)</f>
        <v>268</v>
      </c>
      <c r="AG56" s="269">
        <f>SUMIF(WMS용마재고!$A:$A,"S154-03.00-1.25", WMS용마재고!$L:$L)</f>
        <v>423</v>
      </c>
      <c r="AH56" s="269">
        <f>SUMIF(WMS용마재고!$A:$A,"S154-03.25-1.25", WMS용마재고!$L:$L)</f>
        <v>130</v>
      </c>
      <c r="AI56" s="269">
        <f>SUMIF(WMS용마재고!$A:$A,"S154-03.50-1.25", WMS용마재고!$L:$L)</f>
        <v>94</v>
      </c>
      <c r="AJ56" s="269">
        <f>SUMIF(WMS용마재고!$A:$A,"S154-03.75-1.25", WMS용마재고!$L:$L)</f>
        <v>80</v>
      </c>
      <c r="AK56" s="269">
        <f>SUMIF(WMS용마재고!$A:$A,"S154-04.00-1.25", WMS용마재고!$L:$L)</f>
        <v>258</v>
      </c>
      <c r="AL56" s="269">
        <f>SUMIF(WMS용마재고!$A:$A,"S154-04.25-1.25", WMS용마재고!$L:$L)</f>
        <v>136</v>
      </c>
      <c r="AM56" s="323">
        <f>SUMIF(WMS용마재고!$A:$A,"S154-04.50-1.25", WMS용마재고!$L:$L)</f>
        <v>271</v>
      </c>
      <c r="AN56" s="9">
        <v>182</v>
      </c>
      <c r="AO56" s="5">
        <v>767</v>
      </c>
      <c r="AP56" s="5">
        <v>441</v>
      </c>
      <c r="AQ56" s="5">
        <v>538</v>
      </c>
      <c r="AR56" s="5">
        <v>436</v>
      </c>
      <c r="AS56" s="5">
        <v>120</v>
      </c>
      <c r="AT56" s="5">
        <v>50</v>
      </c>
      <c r="AU56" s="5">
        <v>133</v>
      </c>
      <c r="AV56" s="5">
        <v>63</v>
      </c>
      <c r="AW56" s="5">
        <v>133</v>
      </c>
      <c r="AX56" s="5">
        <v>273</v>
      </c>
      <c r="AY56" s="5">
        <v>428</v>
      </c>
      <c r="AZ56" s="5">
        <v>135</v>
      </c>
      <c r="BA56" s="5">
        <v>99</v>
      </c>
      <c r="BB56" s="5">
        <v>85</v>
      </c>
      <c r="BC56" s="5">
        <v>263</v>
      </c>
      <c r="BD56" s="5">
        <v>141</v>
      </c>
      <c r="BE56" s="6">
        <v>276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2"/>
      <c r="B57" s="647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156</v>
      </c>
      <c r="X57" s="274">
        <f>SUMIF(WMS용마재고!$A:$A,"S154-05.25-1.25", WMS용마재고!$L:$L)</f>
        <v>115</v>
      </c>
      <c r="Y57" s="274">
        <f>SUMIF(WMS용마재고!$A:$A,"S154-05.50-1.25", WMS용마재고!$L:$L)</f>
        <v>226</v>
      </c>
      <c r="Z57" s="274">
        <f>SUMIF(WMS용마재고!$A:$A,"S154-05.75-1.25", WMS용마재고!$L:$L)</f>
        <v>83</v>
      </c>
      <c r="AA57" s="274">
        <f>SUMIF(WMS용마재고!$A:$A,"S154-06.00-1.25", WMS용마재고!$L:$L)</f>
        <v>188</v>
      </c>
      <c r="AB57" s="274">
        <f>SUMIF(WMS용마재고!$A:$A,"S154-06.50-1.25", WMS용마재고!$L:$L)</f>
        <v>93</v>
      </c>
      <c r="AC57" s="274">
        <f>SUMIF(WMS용마재고!$A:$A,"S154-07.00-1.25", WMS용마재고!$L:$L)</f>
        <v>169</v>
      </c>
      <c r="AD57" s="274">
        <f>SUMIF(WMS용마재고!$A:$A,"S154-07.50-1.25", WMS용마재고!$L:$L)</f>
        <v>184</v>
      </c>
      <c r="AE57" s="274">
        <f>SUMIF(WMS용마재고!$A:$A,"S154-08.00-1.25", WMS용마재고!$L:$L)</f>
        <v>370</v>
      </c>
      <c r="AF57" s="274">
        <f>SUMIF(WMS용마재고!$A:$A,"S154-08.50-1.25", WMS용마재고!$L:$L)</f>
        <v>93</v>
      </c>
      <c r="AG57" s="274">
        <f>SUMIF(WMS용마재고!$A:$A,"S154-09.00-1.25", WMS용마재고!$L:$L)</f>
        <v>13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193</v>
      </c>
      <c r="AO57" s="5">
        <v>161</v>
      </c>
      <c r="AP57" s="5">
        <v>115</v>
      </c>
      <c r="AQ57" s="5">
        <v>226</v>
      </c>
      <c r="AR57" s="5">
        <v>83</v>
      </c>
      <c r="AS57" s="5">
        <v>188</v>
      </c>
      <c r="AT57" s="5">
        <v>93</v>
      </c>
      <c r="AU57" s="5">
        <v>169</v>
      </c>
      <c r="AV57" s="5">
        <v>184</v>
      </c>
      <c r="AW57" s="5">
        <v>370</v>
      </c>
      <c r="AX57" s="5">
        <v>93</v>
      </c>
      <c r="AY57" s="5">
        <v>13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5">
        <v>28</v>
      </c>
      <c r="B58" s="649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66</v>
      </c>
      <c r="W58" s="269">
        <f>SUMIF(WMS용마재고!$A:$A,"S154-00.50-1.75", WMS용마재고!$L:$L)</f>
        <v>128</v>
      </c>
      <c r="X58" s="269">
        <f>SUMIF(WMS용마재고!$A:$A,"S154-00.75-1.75", WMS용마재고!$L:$L)</f>
        <v>208</v>
      </c>
      <c r="Y58" s="269">
        <f>SUMIF(WMS용마재고!$A:$A,"S154-01.00-1.75", WMS용마재고!$L:$L)</f>
        <v>34</v>
      </c>
      <c r="Z58" s="269">
        <f>SUMIF(WMS용마재고!$A:$A,"S154-01.25-1.75", WMS용마재고!$L:$L)</f>
        <v>32</v>
      </c>
      <c r="AA58" s="269">
        <f>SUMIF(WMS용마재고!$A:$A,"S154-01.50-1.75", WMS용마재고!$L:$L)</f>
        <v>61</v>
      </c>
      <c r="AB58" s="269">
        <f>SUMIF(WMS용마재고!$A:$A,"S154-01.75-1.75", WMS용마재고!$L:$L)</f>
        <v>192</v>
      </c>
      <c r="AC58" s="269">
        <f>SUMIF(WMS용마재고!$A:$A,"S154-02.00-1.75", WMS용마재고!$L:$L)</f>
        <v>140</v>
      </c>
      <c r="AD58" s="269">
        <f>SUMIF(WMS용마재고!$A:$A,"S154-02.25-1.75", WMS용마재고!$L:$L)</f>
        <v>35</v>
      </c>
      <c r="AE58" s="269">
        <f>SUMIF(WMS용마재고!$A:$A,"S154-02.50-1.75", WMS용마재고!$L:$L)</f>
        <v>15</v>
      </c>
      <c r="AF58" s="269">
        <f>SUMIF(WMS용마재고!$A:$A,"S154-02.75-1.75", WMS용마재고!$L:$L)</f>
        <v>91</v>
      </c>
      <c r="AG58" s="269">
        <f>SUMIF(WMS용마재고!$A:$A,"S154-03.00-1.75", WMS용마재고!$L:$L)</f>
        <v>20</v>
      </c>
      <c r="AH58" s="269">
        <f>SUMIF(WMS용마재고!$A:$A,"S154-03.25-1.75", WMS용마재고!$L:$L)</f>
        <v>79</v>
      </c>
      <c r="AI58" s="269">
        <f>SUMIF(WMS용마재고!$A:$A,"S154-03.50-1.75", WMS용마재고!$L:$L)</f>
        <v>145</v>
      </c>
      <c r="AJ58" s="269">
        <f>SUMIF(WMS용마재고!$A:$A,"S154-03.75-1.75", WMS용마재고!$L:$L)</f>
        <v>91</v>
      </c>
      <c r="AK58" s="269">
        <f>SUMIF(WMS용마재고!$A:$A,"S154-04.00-1.75", WMS용마재고!$L:$L)</f>
        <v>45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161</v>
      </c>
      <c r="AN58" s="9">
        <v>71</v>
      </c>
      <c r="AO58" s="5">
        <v>128</v>
      </c>
      <c r="AP58" s="5">
        <v>208</v>
      </c>
      <c r="AQ58" s="5">
        <v>39</v>
      </c>
      <c r="AR58" s="5">
        <v>37</v>
      </c>
      <c r="AS58" s="5">
        <v>66</v>
      </c>
      <c r="AT58" s="5">
        <v>197</v>
      </c>
      <c r="AU58" s="5">
        <v>145</v>
      </c>
      <c r="AV58" s="5">
        <v>40</v>
      </c>
      <c r="AW58" s="5">
        <v>20</v>
      </c>
      <c r="AX58" s="5">
        <v>96</v>
      </c>
      <c r="AY58" s="5">
        <v>25</v>
      </c>
      <c r="AZ58" s="5">
        <v>84</v>
      </c>
      <c r="BA58" s="5">
        <v>150</v>
      </c>
      <c r="BB58" s="5">
        <v>96</v>
      </c>
      <c r="BC58" s="5">
        <v>50</v>
      </c>
      <c r="BD58" s="5">
        <v>76</v>
      </c>
      <c r="BE58" s="6">
        <v>166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8"/>
      <c r="B59" s="647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36</v>
      </c>
      <c r="W59" s="274">
        <f>SUMIF(WMS용마재고!$A:$A,"S154-05.00-1.75", WMS용마재고!$L:$L)</f>
        <v>138</v>
      </c>
      <c r="X59" s="274">
        <f>SUMIF(WMS용마재고!$A:$A,"S154-05.25-1.75", WMS용마재고!$L:$L)</f>
        <v>88</v>
      </c>
      <c r="Y59" s="274">
        <f>SUMIF(WMS용마재고!$A:$A,"S154-05.50-1.75", WMS용마재고!$L:$L)</f>
        <v>91</v>
      </c>
      <c r="Z59" s="274">
        <f>SUMIF(WMS용마재고!$A:$A,"S154-05.75-1.75", WMS용마재고!$L:$L)</f>
        <v>53</v>
      </c>
      <c r="AA59" s="274">
        <f>SUMIF(WMS용마재고!$A:$A,"S154-06.00-1.75", WMS용마재고!$L:$L)</f>
        <v>133</v>
      </c>
      <c r="AB59" s="274">
        <f>SUMIF(WMS용마재고!$A:$A,"S154-06.50-1.75", WMS용마재고!$L:$L)</f>
        <v>185</v>
      </c>
      <c r="AC59" s="274">
        <f>SUMIF(WMS용마재고!$A:$A,"S154-07.00-1.75", WMS용마재고!$L:$L)</f>
        <v>119</v>
      </c>
      <c r="AD59" s="274">
        <f>SUMIF(WMS용마재고!$A:$A,"S154-07.50-1.75", WMS용마재고!$L:$L)</f>
        <v>152</v>
      </c>
      <c r="AE59" s="274">
        <f>SUMIF(WMS용마재고!$A:$A,"S154-08.00-1.75", WMS용마재고!$L:$L)</f>
        <v>150</v>
      </c>
      <c r="AF59" s="274">
        <f>SUMIF(WMS용마재고!$A:$A,"S154-08.50-1.75", WMS용마재고!$L:$L)</f>
        <v>35</v>
      </c>
      <c r="AG59" s="274">
        <f>SUMIF(WMS용마재고!$A:$A,"S154-09.00-1.75", WMS용마재고!$L:$L)</f>
        <v>20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41</v>
      </c>
      <c r="AO59" s="5">
        <v>143</v>
      </c>
      <c r="AP59" s="5">
        <v>88</v>
      </c>
      <c r="AQ59" s="5">
        <v>91</v>
      </c>
      <c r="AR59" s="5">
        <v>53</v>
      </c>
      <c r="AS59" s="5">
        <v>133</v>
      </c>
      <c r="AT59" s="5">
        <v>185</v>
      </c>
      <c r="AU59" s="5">
        <v>119</v>
      </c>
      <c r="AV59" s="5">
        <v>152</v>
      </c>
      <c r="AW59" s="5">
        <v>150</v>
      </c>
      <c r="AX59" s="5">
        <v>35</v>
      </c>
      <c r="AY59" s="5">
        <v>20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1">
        <v>29</v>
      </c>
      <c r="B60" s="633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496</v>
      </c>
      <c r="W60" s="269">
        <f>SUMIF(WMS용마재고!$A:$A,"S159-00.50-0.75", WMS용마재고!$L:$L)</f>
        <v>375</v>
      </c>
      <c r="X60" s="269">
        <f>SUMIF(WMS용마재고!$A:$A,"S159-00.75-0.75", WMS용마재고!$L:$L)</f>
        <v>594</v>
      </c>
      <c r="Y60" s="269">
        <f>SUMIF(WMS용마재고!$A:$A,"S159-01.00-0.75", WMS용마재고!$L:$L)</f>
        <v>723</v>
      </c>
      <c r="Z60" s="269">
        <f>SUMIF(WMS용마재고!$A:$A,"S159-01.25-0.75", WMS용마재고!$L:$L)</f>
        <v>102</v>
      </c>
      <c r="AA60" s="269">
        <f>SUMIF(WMS용마재고!$A:$A,"S159-01.50-0.75", WMS용마재고!$L:$L)</f>
        <v>224</v>
      </c>
      <c r="AB60" s="269">
        <f>SUMIF(WMS용마재고!$A:$A,"S159-01.75-0.75", WMS용마재고!$L:$L)</f>
        <v>443</v>
      </c>
      <c r="AC60" s="269">
        <f>SUMIF(WMS용마재고!$A:$A,"S159-02.00-0.75", WMS용마재고!$L:$L)</f>
        <v>383</v>
      </c>
      <c r="AD60" s="269">
        <f>SUMIF(WMS용마재고!$A:$A,"S159-02.25-0.75", WMS용마재고!$L:$L)</f>
        <v>312</v>
      </c>
      <c r="AE60" s="269">
        <f>SUMIF(WMS용마재고!$A:$A,"S159-02.50-0.75", WMS용마재고!$L:$L)</f>
        <v>254</v>
      </c>
      <c r="AF60" s="269">
        <f>SUMIF(WMS용마재고!$A:$A,"S159-02.75-0.75", WMS용마재고!$L:$L)</f>
        <v>296</v>
      </c>
      <c r="AG60" s="269">
        <f>SUMIF(WMS용마재고!$A:$A,"S159-03.00-0.75", WMS용마재고!$L:$L)</f>
        <v>115</v>
      </c>
      <c r="AH60" s="269">
        <f>SUMIF(WMS용마재고!$A:$A,"S159-03.25-0.75", WMS용마재고!$L:$L)</f>
        <v>232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61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86</v>
      </c>
      <c r="AM60" s="323">
        <f>SUMIF(WMS용마재고!$A:$A,"S159-04.50-0.75", WMS용마재고!$L:$L)</f>
        <v>35</v>
      </c>
      <c r="AN60" s="9">
        <v>496</v>
      </c>
      <c r="AO60" s="5">
        <v>375</v>
      </c>
      <c r="AP60" s="5">
        <v>594</v>
      </c>
      <c r="AQ60" s="5">
        <v>723</v>
      </c>
      <c r="AR60" s="5">
        <v>102</v>
      </c>
      <c r="AS60" s="5">
        <v>224</v>
      </c>
      <c r="AT60" s="5">
        <v>443</v>
      </c>
      <c r="AU60" s="5">
        <v>383</v>
      </c>
      <c r="AV60" s="5">
        <v>312</v>
      </c>
      <c r="AW60" s="5">
        <v>254</v>
      </c>
      <c r="AX60" s="5">
        <v>296</v>
      </c>
      <c r="AY60" s="5">
        <v>115</v>
      </c>
      <c r="AZ60" s="5">
        <v>232</v>
      </c>
      <c r="BA60" s="5">
        <v>223</v>
      </c>
      <c r="BB60" s="5">
        <v>61</v>
      </c>
      <c r="BC60" s="5">
        <v>223</v>
      </c>
      <c r="BD60" s="5">
        <v>86</v>
      </c>
      <c r="BE60" s="6">
        <v>35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2"/>
      <c r="B61" s="634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284</v>
      </c>
      <c r="W61" s="274">
        <f>SUMIF(WMS용마재고!$A:$A,"S159-05.00-0.75", WMS용마재고!$L:$L)</f>
        <v>157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227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93</v>
      </c>
      <c r="AB61" s="274">
        <f>SUMIF(WMS용마재고!$A:$A,"S159-06.50-0.75", WMS용마재고!$L:$L)</f>
        <v>40</v>
      </c>
      <c r="AC61" s="274">
        <f>SUMIF(WMS용마재고!$A:$A,"S159-07.00-0.75", WMS용마재고!$L:$L)</f>
        <v>254</v>
      </c>
      <c r="AD61" s="274">
        <f>SUMIF(WMS용마재고!$A:$A,"S159-07.50-0.75", WMS용마재고!$L:$L)</f>
        <v>372</v>
      </c>
      <c r="AE61" s="274">
        <f>SUMIF(WMS용마재고!$A:$A,"S159-08.00-0.75", WMS용마재고!$L:$L)</f>
        <v>293</v>
      </c>
      <c r="AF61" s="274">
        <f>SUMIF(WMS용마재고!$A:$A,"S159-08.50-0.75", WMS용마재고!$L:$L)</f>
        <v>605</v>
      </c>
      <c r="AG61" s="274">
        <f>SUMIF(WMS용마재고!$A:$A,"S159-09.00-0.75", WMS용마재고!$L:$L)</f>
        <v>193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284</v>
      </c>
      <c r="AO61" s="5">
        <v>157</v>
      </c>
      <c r="AP61" s="5">
        <v>206</v>
      </c>
      <c r="AQ61" s="5">
        <v>227</v>
      </c>
      <c r="AR61" s="5">
        <v>436</v>
      </c>
      <c r="AS61" s="5">
        <v>93</v>
      </c>
      <c r="AT61" s="5">
        <v>40</v>
      </c>
      <c r="AU61" s="5">
        <v>254</v>
      </c>
      <c r="AV61" s="5">
        <v>372</v>
      </c>
      <c r="AW61" s="5">
        <v>293</v>
      </c>
      <c r="AX61" s="5">
        <v>605</v>
      </c>
      <c r="AY61" s="5">
        <v>193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5">
        <v>30</v>
      </c>
      <c r="B62" s="636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16</v>
      </c>
      <c r="W62" s="269">
        <f>SUMIF(WMS용마재고!$A:$A,"S159-00.50-1.25", WMS용마재고!$L:$L)</f>
        <v>374</v>
      </c>
      <c r="X62" s="269">
        <f>SUMIF(WMS용마재고!$A:$A,"S159-00.75-1.25", WMS용마재고!$L:$L)</f>
        <v>472</v>
      </c>
      <c r="Y62" s="269">
        <f>SUMIF(WMS용마재고!$A:$A,"S159-01.00-1.25", WMS용마재고!$L:$L)</f>
        <v>291</v>
      </c>
      <c r="Z62" s="269">
        <f>SUMIF(WMS용마재고!$A:$A,"S159-01.25-1.25", WMS용마재고!$L:$L)</f>
        <v>179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48</v>
      </c>
      <c r="AC62" s="269">
        <f>SUMIF(WMS용마재고!$A:$A,"S159-02.00-1.25", WMS용마재고!$L:$L)</f>
        <v>280</v>
      </c>
      <c r="AD62" s="269">
        <f>SUMIF(WMS용마재고!$A:$A,"S159-02.25-1.25", WMS용마재고!$L:$L)</f>
        <v>26</v>
      </c>
      <c r="AE62" s="269">
        <f>SUMIF(WMS용마재고!$A:$A,"S159-02.50-1.25", WMS용마재고!$L:$L)</f>
        <v>28</v>
      </c>
      <c r="AF62" s="269">
        <f>SUMIF(WMS용마재고!$A:$A,"S159-02.75-1.25", WMS용마재고!$L:$L)</f>
        <v>218</v>
      </c>
      <c r="AG62" s="269">
        <f>SUMIF(WMS용마재고!$A:$A,"S159-03.00-1.25", WMS용마재고!$L:$L)</f>
        <v>156</v>
      </c>
      <c r="AH62" s="269">
        <f>SUMIF(WMS용마재고!$A:$A,"S159-03.25-1.25", WMS용마재고!$L:$L)</f>
        <v>39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255</v>
      </c>
      <c r="AK62" s="269">
        <f>SUMIF(WMS용마재고!$A:$A,"S159-04.00-1.25", WMS용마재고!$L:$L)</f>
        <v>218</v>
      </c>
      <c r="AL62" s="269">
        <f>SUMIF(WMS용마재고!$A:$A,"S159-04.25-1.25", WMS용마재고!$L:$L)</f>
        <v>190</v>
      </c>
      <c r="AM62" s="323">
        <f>SUMIF(WMS용마재고!$A:$A,"S159-04.50-1.25", WMS용마재고!$L:$L)</f>
        <v>150</v>
      </c>
      <c r="AN62" s="9">
        <v>16</v>
      </c>
      <c r="AO62" s="5">
        <v>374</v>
      </c>
      <c r="AP62" s="5">
        <v>472</v>
      </c>
      <c r="AQ62" s="5">
        <v>291</v>
      </c>
      <c r="AR62" s="5">
        <v>179</v>
      </c>
      <c r="AS62" s="5">
        <v>244</v>
      </c>
      <c r="AT62" s="5">
        <v>48</v>
      </c>
      <c r="AU62" s="5">
        <v>280</v>
      </c>
      <c r="AV62" s="5">
        <v>26</v>
      </c>
      <c r="AW62" s="5">
        <v>28</v>
      </c>
      <c r="AX62" s="5">
        <v>218</v>
      </c>
      <c r="AY62" s="5">
        <v>156</v>
      </c>
      <c r="AZ62" s="5">
        <v>39</v>
      </c>
      <c r="BA62" s="5">
        <v>185</v>
      </c>
      <c r="BB62" s="5">
        <v>255</v>
      </c>
      <c r="BC62" s="5">
        <v>218</v>
      </c>
      <c r="BD62" s="5">
        <v>190</v>
      </c>
      <c r="BE62" s="6">
        <v>150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2"/>
      <c r="B63" s="637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317</v>
      </c>
      <c r="X63" s="274">
        <f>SUMIF(WMS용마재고!$A:$A,"S159-05.25-1.25", WMS용마재고!$L:$L)</f>
        <v>289</v>
      </c>
      <c r="Y63" s="274">
        <f>SUMIF(WMS용마재고!$A:$A,"S159-05.50-1.25", WMS용마재고!$L:$L)</f>
        <v>157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63</v>
      </c>
      <c r="AB63" s="274">
        <f>SUMIF(WMS용마재고!$A:$A,"S159-06.50-1.25", WMS용마재고!$L:$L)</f>
        <v>487</v>
      </c>
      <c r="AC63" s="274">
        <f>SUMIF(WMS용마재고!$A:$A,"S159-07.00-1.25", WMS용마재고!$L:$L)</f>
        <v>71</v>
      </c>
      <c r="AD63" s="274">
        <f>SUMIF(WMS용마재고!$A:$A,"S159-07.50-1.25", WMS용마재고!$L:$L)</f>
        <v>211</v>
      </c>
      <c r="AE63" s="274">
        <f>SUMIF(WMS용마재고!$A:$A,"S159-08.00-1.25", WMS용마재고!$L:$L)</f>
        <v>144</v>
      </c>
      <c r="AF63" s="274">
        <f>SUMIF(WMS용마재고!$A:$A,"S159-08.50-1.25", WMS용마재고!$L:$L)</f>
        <v>336</v>
      </c>
      <c r="AG63" s="274">
        <f>SUMIF(WMS용마재고!$A:$A,"S159-09.00-1.25", WMS용마재고!$L:$L)</f>
        <v>466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317</v>
      </c>
      <c r="AP63" s="5">
        <v>289</v>
      </c>
      <c r="AQ63" s="5">
        <v>157</v>
      </c>
      <c r="AR63" s="5">
        <v>214</v>
      </c>
      <c r="AS63" s="5">
        <v>63</v>
      </c>
      <c r="AT63" s="5">
        <v>487</v>
      </c>
      <c r="AU63" s="5">
        <v>71</v>
      </c>
      <c r="AV63" s="5">
        <v>211</v>
      </c>
      <c r="AW63" s="5">
        <v>144</v>
      </c>
      <c r="AX63" s="5">
        <v>336</v>
      </c>
      <c r="AY63" s="5">
        <v>466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5">
        <v>31</v>
      </c>
      <c r="B64" s="639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67</v>
      </c>
      <c r="W64" s="269">
        <f>SUMIF(WMS용마재고!$A:$A,"S159-00.50-1.75", WMS용마재고!$L:$L)</f>
        <v>372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117</v>
      </c>
      <c r="Z64" s="269">
        <f>SUMIF(WMS용마재고!$A:$A,"S159-01.25-1.75", WMS용마재고!$L:$L)</f>
        <v>109</v>
      </c>
      <c r="AA64" s="269">
        <f>SUMIF(WMS용마재고!$A:$A,"S159-01.50-1.75", WMS용마재고!$L:$L)</f>
        <v>113</v>
      </c>
      <c r="AB64" s="269">
        <f>SUMIF(WMS용마재고!$A:$A,"S159-01.75-1.75", WMS용마재고!$L:$L)</f>
        <v>102</v>
      </c>
      <c r="AC64" s="269">
        <f>SUMIF(WMS용마재고!$A:$A,"S159-02.00-1.75", WMS용마재고!$L:$L)</f>
        <v>35</v>
      </c>
      <c r="AD64" s="269">
        <f>SUMIF(WMS용마재고!$A:$A,"S159-02.25-1.75", WMS용마재고!$L:$L)</f>
        <v>32</v>
      </c>
      <c r="AE64" s="269">
        <f>SUMIF(WMS용마재고!$A:$A,"S159-02.50-1.75", WMS용마재고!$L:$L)</f>
        <v>60</v>
      </c>
      <c r="AF64" s="269">
        <f>SUMIF(WMS용마재고!$A:$A,"S159-02.75-1.75", WMS용마재고!$L:$L)</f>
        <v>88</v>
      </c>
      <c r="AG64" s="269">
        <f>SUMIF(WMS용마재고!$A:$A,"S159-03.00-1.75", WMS용마재고!$L:$L)</f>
        <v>201</v>
      </c>
      <c r="AH64" s="269">
        <f>SUMIF(WMS용마재고!$A:$A,"S159-03.25-1.75", WMS용마재고!$L:$L)</f>
        <v>53</v>
      </c>
      <c r="AI64" s="269">
        <f>SUMIF(WMS용마재고!$A:$A,"S159-03.50-1.75", WMS용마재고!$L:$L)</f>
        <v>88</v>
      </c>
      <c r="AJ64" s="269">
        <f>SUMIF(WMS용마재고!$A:$A,"S159-03.75-1.75", WMS용마재고!$L:$L)</f>
        <v>222</v>
      </c>
      <c r="AK64" s="269">
        <f>SUMIF(WMS용마재고!$A:$A,"S159-04.00-1.75", WMS용마재고!$L:$L)</f>
        <v>91</v>
      </c>
      <c r="AL64" s="269">
        <f>SUMIF(WMS용마재고!$A:$A,"S159-04.25-1.75", WMS용마재고!$L:$L)</f>
        <v>179</v>
      </c>
      <c r="AM64" s="323">
        <f>SUMIF(WMS용마재고!$A:$A,"S159-04.50-1.75", WMS용마재고!$L:$L)</f>
        <v>140</v>
      </c>
      <c r="AN64" s="9">
        <v>67</v>
      </c>
      <c r="AO64" s="5">
        <v>372</v>
      </c>
      <c r="AP64" s="5">
        <v>240</v>
      </c>
      <c r="AQ64" s="5">
        <v>117</v>
      </c>
      <c r="AR64" s="5">
        <v>109</v>
      </c>
      <c r="AS64" s="5">
        <v>113</v>
      </c>
      <c r="AT64" s="5">
        <v>102</v>
      </c>
      <c r="AU64" s="5">
        <v>35</v>
      </c>
      <c r="AV64" s="5">
        <v>32</v>
      </c>
      <c r="AW64" s="5">
        <v>60</v>
      </c>
      <c r="AX64" s="5">
        <v>88</v>
      </c>
      <c r="AY64" s="5">
        <v>201</v>
      </c>
      <c r="AZ64" s="5">
        <v>53</v>
      </c>
      <c r="BA64" s="5">
        <v>88</v>
      </c>
      <c r="BB64" s="5">
        <v>222</v>
      </c>
      <c r="BC64" s="5">
        <v>91</v>
      </c>
      <c r="BD64" s="5">
        <v>179</v>
      </c>
      <c r="BE64" s="6">
        <v>140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8"/>
      <c r="B65" s="640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62</v>
      </c>
      <c r="W65" s="274">
        <f>SUMIF(WMS용마재고!$A:$A,"S159-05.00-1.75", WMS용마재고!$L:$L)</f>
        <v>149</v>
      </c>
      <c r="X65" s="274">
        <f>SUMIF(WMS용마재고!$A:$A,"S159-05.25-1.75", WMS용마재고!$L:$L)</f>
        <v>150</v>
      </c>
      <c r="Y65" s="274">
        <f>SUMIF(WMS용마재고!$A:$A,"S159-05.50-1.75", WMS용마재고!$L:$L)</f>
        <v>82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209</v>
      </c>
      <c r="AB65" s="274">
        <f>SUMIF(WMS용마재고!$A:$A,"S159-06.50-1.75", WMS용마재고!$L:$L)</f>
        <v>157</v>
      </c>
      <c r="AC65" s="274">
        <f>SUMIF(WMS용마재고!$A:$A,"S159-07.00-1.75", WMS용마재고!$L:$L)</f>
        <v>102</v>
      </c>
      <c r="AD65" s="274">
        <f>SUMIF(WMS용마재고!$A:$A,"S159-07.50-1.75", WMS용마재고!$L:$L)</f>
        <v>79</v>
      </c>
      <c r="AE65" s="274">
        <f>SUMIF(WMS용마재고!$A:$A,"S159-08.00-1.75", WMS용마재고!$L:$L)</f>
        <v>86</v>
      </c>
      <c r="AF65" s="274">
        <f>SUMIF(WMS용마재고!$A:$A,"S159-08.50-1.75", WMS용마재고!$L:$L)</f>
        <v>137</v>
      </c>
      <c r="AG65" s="274">
        <f>SUMIF(WMS용마재고!$A:$A,"S159-09.00-1.75", WMS용마재고!$L:$L)</f>
        <v>129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62</v>
      </c>
      <c r="AO65" s="5">
        <v>149</v>
      </c>
      <c r="AP65" s="5">
        <v>150</v>
      </c>
      <c r="AQ65" s="5">
        <v>82</v>
      </c>
      <c r="AR65" s="5">
        <v>397</v>
      </c>
      <c r="AS65" s="5">
        <v>209</v>
      </c>
      <c r="AT65" s="5">
        <v>157</v>
      </c>
      <c r="AU65" s="5">
        <v>102</v>
      </c>
      <c r="AV65" s="5">
        <v>79</v>
      </c>
      <c r="AW65" s="5">
        <v>86</v>
      </c>
      <c r="AX65" s="5">
        <v>137</v>
      </c>
      <c r="AY65" s="5">
        <v>129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0">
        <v>32</v>
      </c>
      <c r="B66" s="609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2"/>
      <c r="B67" s="590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4">
        <v>33</v>
      </c>
      <c r="B68" s="592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146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146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5"/>
      <c r="B69" s="586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11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11</v>
      </c>
      <c r="AR69" s="5">
        <v>243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1">
        <v>34</v>
      </c>
      <c r="B70" s="589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90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116</v>
      </c>
      <c r="AI70" s="259">
        <f>SUMIF(WMS용마재고!$A:$A,"S189-03.50", WMS용마재고!$L:$L)</f>
        <v>235</v>
      </c>
      <c r="AJ70" s="259">
        <f>SUMIF(WMS용마재고!$A:$A,"S189-03.75", WMS용마재고!$L:$L)</f>
        <v>82</v>
      </c>
      <c r="AK70" s="259">
        <f>SUMIF(WMS용마재고!$A:$A,"S189-04.00", WMS용마재고!$L:$L)</f>
        <v>3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90</v>
      </c>
      <c r="AX70" s="5">
        <v>152</v>
      </c>
      <c r="AY70" s="5">
        <v>114</v>
      </c>
      <c r="AZ70" s="5">
        <v>116</v>
      </c>
      <c r="BA70" s="5">
        <v>235</v>
      </c>
      <c r="BB70" s="5">
        <v>82</v>
      </c>
      <c r="BC70" s="5">
        <v>3</v>
      </c>
      <c r="BD70" s="5">
        <v>18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2"/>
      <c r="B71" s="590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108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108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4">
        <v>35</v>
      </c>
      <c r="B72" s="592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384</v>
      </c>
      <c r="AA72" s="269">
        <f>SUMIF(WMS용마재고!$A:$A,"S194-01.50", WMS용마재고!$L:$L)</f>
        <v>120</v>
      </c>
      <c r="AB72" s="269">
        <f>SUMIF(WMS용마재고!$A:$A,"S194-01.75", WMS용마재고!$L:$L)</f>
        <v>233</v>
      </c>
      <c r="AC72" s="269">
        <f>SUMIF(WMS용마재고!$A:$A,"S194-02.00", WMS용마재고!$L:$L)</f>
        <v>103</v>
      </c>
      <c r="AD72" s="269">
        <f>SUMIF(WMS용마재고!$A:$A,"S194-02.25", WMS용마재고!$L:$L)</f>
        <v>128</v>
      </c>
      <c r="AE72" s="269">
        <f>SUMIF(WMS용마재고!$A:$A,"S194-02.50", WMS용마재고!$L:$L)</f>
        <v>69</v>
      </c>
      <c r="AF72" s="269">
        <f>SUMIF(WMS용마재고!$A:$A,"S194-02.75", WMS용마재고!$L:$L)</f>
        <v>108</v>
      </c>
      <c r="AG72" s="269">
        <f>SUMIF(WMS용마재고!$A:$A,"S194-03.00", WMS용마재고!$L:$L)</f>
        <v>96</v>
      </c>
      <c r="AH72" s="269">
        <f>SUMIF(WMS용마재고!$A:$A,"S194-03.25", WMS용마재고!$L:$L)</f>
        <v>152</v>
      </c>
      <c r="AI72" s="269">
        <f>SUMIF(WMS용마재고!$A:$A,"S194-03.50", WMS용마재고!$L:$L)</f>
        <v>102</v>
      </c>
      <c r="AJ72" s="269">
        <f>SUMIF(WMS용마재고!$A:$A,"S194-03.75", WMS용마재고!$L:$L)</f>
        <v>311</v>
      </c>
      <c r="AK72" s="269">
        <f>SUMIF(WMS용마재고!$A:$A,"S194-04.00", WMS용마재고!$L:$L)</f>
        <v>108</v>
      </c>
      <c r="AL72" s="269">
        <f>SUMIF(WMS용마재고!$A:$A,"S194-04.25", WMS용마재고!$L:$L)</f>
        <v>91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384</v>
      </c>
      <c r="AS72" s="5">
        <v>120</v>
      </c>
      <c r="AT72" s="5">
        <v>233</v>
      </c>
      <c r="AU72" s="5">
        <v>103</v>
      </c>
      <c r="AV72" s="5">
        <v>128</v>
      </c>
      <c r="AW72" s="5">
        <v>69</v>
      </c>
      <c r="AX72" s="5">
        <v>108</v>
      </c>
      <c r="AY72" s="5">
        <v>96</v>
      </c>
      <c r="AZ72" s="5">
        <v>152</v>
      </c>
      <c r="BA72" s="5">
        <v>102</v>
      </c>
      <c r="BB72" s="5">
        <v>311</v>
      </c>
      <c r="BC72" s="5">
        <v>108</v>
      </c>
      <c r="BD72" s="5">
        <v>91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5"/>
      <c r="B73" s="586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83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269</v>
      </c>
      <c r="AB73" s="274">
        <f>SUMIF(WMS용마재고!$A:$A,"S194-06.50", WMS용마재고!$L:$L)</f>
        <v>123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83</v>
      </c>
      <c r="AP73" s="5">
        <v>236</v>
      </c>
      <c r="AQ73" s="5">
        <v>68</v>
      </c>
      <c r="AR73" s="5">
        <v>994</v>
      </c>
      <c r="AS73" s="5">
        <v>269</v>
      </c>
      <c r="AT73" s="5">
        <v>123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8">
        <v>36</v>
      </c>
      <c r="B74" s="580" t="s">
        <v>6810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1053</v>
      </c>
      <c r="W74" s="259">
        <f>SUMIF(WMS용마재고!$A:$A,"S615-00.50", WMS용마재고!$L:$L)</f>
        <v>312</v>
      </c>
      <c r="X74" s="259">
        <f>SUMIF(WMS용마재고!$A:$A,"S615-00.75", WMS용마재고!$L:$L)</f>
        <v>323</v>
      </c>
      <c r="Y74" s="259">
        <f>SUMIF(WMS용마재고!$A:$A,"S615-01.00", WMS용마재고!$L:$L)</f>
        <v>235</v>
      </c>
      <c r="Z74" s="259">
        <f>SUMIF(WMS용마재고!$A:$A,"S615-01.25", WMS용마재고!$L:$L)</f>
        <v>499</v>
      </c>
      <c r="AA74" s="259">
        <f>SUMIF(WMS용마재고!$A:$A,"S615-01.50", WMS용마재고!$L:$L)</f>
        <v>461</v>
      </c>
      <c r="AB74" s="259">
        <f>SUMIF(WMS용마재고!$A:$A,"S615-01.75", WMS용마재고!$L:$L)</f>
        <v>608</v>
      </c>
      <c r="AC74" s="259">
        <f>SUMIF(WMS용마재고!$A:$A,"S615-02.00", WMS용마재고!$L:$L)</f>
        <v>241</v>
      </c>
      <c r="AD74" s="259">
        <f>SUMIF(WMS용마재고!$A:$A,"S615-02.25", WMS용마재고!$L:$L)</f>
        <v>447</v>
      </c>
      <c r="AE74" s="259">
        <f>SUMIF(WMS용마재고!$A:$A,"S615-02.50", WMS용마재고!$L:$L)</f>
        <v>450</v>
      </c>
      <c r="AF74" s="259">
        <f>SUMIF(WMS용마재고!$A:$A,"S615-02.75", WMS용마재고!$L:$L)</f>
        <v>497</v>
      </c>
      <c r="AG74" s="259">
        <f>SUMIF(WMS용마재고!$A:$A,"S615-03.00", WMS용마재고!$L:$L)</f>
        <v>453</v>
      </c>
      <c r="AH74" s="259">
        <f>SUMIF(WMS용마재고!$A:$A,"S615-03.25", WMS용마재고!$L:$L)</f>
        <v>434</v>
      </c>
      <c r="AI74" s="259">
        <f>SUMIF(WMS용마재고!$A:$A,"S615-03.50", WMS용마재고!$L:$L)</f>
        <v>395</v>
      </c>
      <c r="AJ74" s="259">
        <f>SUMIF(WMS용마재고!$A:$A,"S615-03.75", WMS용마재고!$L:$L)</f>
        <v>416</v>
      </c>
      <c r="AK74" s="259">
        <f>SUMIF(WMS용마재고!$A:$A,"S615-04.00", WMS용마재고!$L:$L)</f>
        <v>360</v>
      </c>
      <c r="AL74" s="259">
        <f>SUMIF(WMS용마재고!$A:$A,"S615-04.25", WMS용마재고!$L:$L)</f>
        <v>844</v>
      </c>
      <c r="AM74" s="317">
        <f>SUMIF(WMS용마재고!$A:$A,"S615-04.50", WMS용마재고!$L:$L)</f>
        <v>330</v>
      </c>
      <c r="AN74" s="9">
        <v>1053</v>
      </c>
      <c r="AO74" s="5">
        <v>312</v>
      </c>
      <c r="AP74" s="5">
        <v>323</v>
      </c>
      <c r="AQ74" s="5">
        <v>235</v>
      </c>
      <c r="AR74" s="5">
        <v>499</v>
      </c>
      <c r="AS74" s="5">
        <v>461</v>
      </c>
      <c r="AT74" s="5">
        <v>608</v>
      </c>
      <c r="AU74" s="5">
        <v>241</v>
      </c>
      <c r="AV74" s="5">
        <v>447</v>
      </c>
      <c r="AW74" s="5">
        <v>450</v>
      </c>
      <c r="AX74" s="5">
        <v>497</v>
      </c>
      <c r="AY74" s="5">
        <v>453</v>
      </c>
      <c r="AZ74" s="5">
        <v>434</v>
      </c>
      <c r="BA74" s="5">
        <v>395</v>
      </c>
      <c r="BB74" s="5">
        <v>416</v>
      </c>
      <c r="BC74" s="5">
        <v>360</v>
      </c>
      <c r="BD74" s="5">
        <v>844</v>
      </c>
      <c r="BE74" s="6">
        <v>330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9"/>
      <c r="B75" s="577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443</v>
      </c>
      <c r="W75" s="264">
        <f>SUMIF(WMS용마재고!$A:$A,"S615-05.00", WMS용마재고!$L:$L)</f>
        <v>466</v>
      </c>
      <c r="X75" s="264">
        <f>SUMIF(WMS용마재고!$A:$A,"S615-05.25", WMS용마재고!$L:$L)</f>
        <v>0</v>
      </c>
      <c r="Y75" s="264">
        <f>SUMIF(WMS용마재고!$A:$A,"S615-05.50", WMS용마재고!$L:$L)</f>
        <v>783</v>
      </c>
      <c r="Z75" s="264">
        <f>SUMIF(WMS용마재고!$A:$A,"S615-05.75", WMS용마재고!$L:$L)</f>
        <v>0</v>
      </c>
      <c r="AA75" s="264">
        <f>SUMIF(WMS용마재고!$A:$A,"S615-06.00", WMS용마재고!$L:$L)</f>
        <v>457</v>
      </c>
      <c r="AB75" s="264">
        <f>SUMIF(WMS용마재고!$A:$A,"S615-06.50", WMS용마재고!$L:$L)</f>
        <v>242</v>
      </c>
      <c r="AC75" s="264">
        <f>SUMIF(WMS용마재고!$A:$A,"S615-07.00", WMS용마재고!$L:$L)</f>
        <v>114</v>
      </c>
      <c r="AD75" s="264">
        <f>SUMIF(WMS용마재고!$A:$A,"S615-07.50", WMS용마재고!$L:$L)</f>
        <v>464</v>
      </c>
      <c r="AE75" s="264">
        <f>SUMIF(WMS용마재고!$A:$A,"S615-08.00", WMS용마재고!$L:$L)</f>
        <v>391</v>
      </c>
      <c r="AF75" s="264">
        <f>SUMIF(WMS용마재고!$A:$A,"S615-08.50", WMS용마재고!$L:$L)</f>
        <v>211</v>
      </c>
      <c r="AG75" s="264">
        <f>SUMIF(WMS용마재고!$A:$A,"S615-09.00", WMS용마재고!$L:$L)</f>
        <v>190</v>
      </c>
      <c r="AH75" s="264">
        <f>SUMIF(WMS용마재고!$A:$A,"S615-09.50", WMS용마재고!$L:$L)</f>
        <v>403</v>
      </c>
      <c r="AI75" s="264">
        <f>SUMIF(WMS용마재고!$A:$A,"S615-10.00", WMS용마재고!$L:$L)</f>
        <v>201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443</v>
      </c>
      <c r="AO75" s="5">
        <v>466</v>
      </c>
      <c r="AP75" s="5">
        <v>0</v>
      </c>
      <c r="AQ75" s="5">
        <v>783</v>
      </c>
      <c r="AR75" s="5">
        <v>0</v>
      </c>
      <c r="AS75" s="5">
        <v>457</v>
      </c>
      <c r="AT75" s="5">
        <v>242</v>
      </c>
      <c r="AU75" s="5">
        <v>114</v>
      </c>
      <c r="AV75" s="5">
        <v>464</v>
      </c>
      <c r="AW75" s="5">
        <v>391</v>
      </c>
      <c r="AX75" s="5">
        <v>211</v>
      </c>
      <c r="AY75" s="5">
        <v>190</v>
      </c>
      <c r="AZ75" s="5">
        <v>403</v>
      </c>
      <c r="BA75" s="5">
        <v>201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4">
        <v>37</v>
      </c>
      <c r="B76" s="592" t="s">
        <v>6811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507</v>
      </c>
      <c r="W76" s="258">
        <f>SUMIF(WMS용마재고!$A:$A,"S625-00.50", WMS용마재고!$L:$L)</f>
        <v>1446</v>
      </c>
      <c r="X76" s="259">
        <f>SUMIF(WMS용마재고!$A:$A,"S625-00.75", WMS용마재고!$L:$L)</f>
        <v>1915</v>
      </c>
      <c r="Y76" s="259">
        <f>SUMIF(WMS용마재고!$A:$A,"S625-01.00", WMS용마재고!$L:$L)</f>
        <v>1049</v>
      </c>
      <c r="Z76" s="259">
        <f>SUMIF(WMS용마재고!$A:$A,"S625-01.25", WMS용마재고!$L:$L)</f>
        <v>794</v>
      </c>
      <c r="AA76" s="259">
        <f>SUMIF(WMS용마재고!$A:$A,"S625-01.50", WMS용마재고!$L:$L)</f>
        <v>697</v>
      </c>
      <c r="AB76" s="259">
        <f>SUMIF(WMS용마재고!$A:$A,"S625-01.75", WMS용마재고!$L:$L)</f>
        <v>769</v>
      </c>
      <c r="AC76" s="259">
        <f>SUMIF(WMS용마재고!$A:$A,"S625-02.00", WMS용마재고!$L:$L)</f>
        <v>410</v>
      </c>
      <c r="AD76" s="259">
        <f>SUMIF(WMS용마재고!$A:$A,"S625-02.25", WMS용마재고!$L:$L)</f>
        <v>634</v>
      </c>
      <c r="AE76" s="259">
        <f>SUMIF(WMS용마재고!$A:$A,"S625-02.50", WMS용마재고!$L:$L)</f>
        <v>794</v>
      </c>
      <c r="AF76" s="259">
        <f>SUMIF(WMS용마재고!$A:$A,"S625-02.75", WMS용마재고!$L:$L)</f>
        <v>612</v>
      </c>
      <c r="AG76" s="259">
        <f>SUMIF(WMS용마재고!$A:$A,"S625-03.00", WMS용마재고!$L:$L)</f>
        <v>459</v>
      </c>
      <c r="AH76" s="259">
        <f>SUMIF(WMS용마재고!$A:$A,"S625-03.25", WMS용마재고!$L:$L)</f>
        <v>770</v>
      </c>
      <c r="AI76" s="259">
        <f>SUMIF(WMS용마재고!$A:$A,"S625-03.50", WMS용마재고!$L:$L)</f>
        <v>581</v>
      </c>
      <c r="AJ76" s="259">
        <f>SUMIF(WMS용마재고!$A:$A,"S625-03.75", WMS용마재고!$L:$L)</f>
        <v>511</v>
      </c>
      <c r="AK76" s="259">
        <f>SUMIF(WMS용마재고!$A:$A,"S625-04.00", WMS용마재고!$L:$L)</f>
        <v>915</v>
      </c>
      <c r="AL76" s="259">
        <f>SUMIF(WMS용마재고!$A:$A,"S625-04.25", WMS용마재고!$L:$L)</f>
        <v>930</v>
      </c>
      <c r="AM76" s="317">
        <f>SUMIF(WMS용마재고!$A:$A,"S625-04.50", WMS용마재고!$L:$L)</f>
        <v>1513</v>
      </c>
      <c r="AN76" s="9">
        <v>507</v>
      </c>
      <c r="AO76" s="5">
        <v>1446</v>
      </c>
      <c r="AP76" s="5">
        <v>1915</v>
      </c>
      <c r="AQ76" s="5">
        <v>1049</v>
      </c>
      <c r="AR76" s="5">
        <v>794</v>
      </c>
      <c r="AS76" s="5">
        <v>697</v>
      </c>
      <c r="AT76" s="5">
        <v>769</v>
      </c>
      <c r="AU76" s="5">
        <v>410</v>
      </c>
      <c r="AV76" s="5">
        <v>634</v>
      </c>
      <c r="AW76" s="5">
        <v>794</v>
      </c>
      <c r="AX76" s="5">
        <v>612</v>
      </c>
      <c r="AY76" s="5">
        <v>459</v>
      </c>
      <c r="AZ76" s="5">
        <v>770</v>
      </c>
      <c r="BA76" s="5">
        <v>581</v>
      </c>
      <c r="BB76" s="5">
        <v>511</v>
      </c>
      <c r="BC76" s="5">
        <v>915</v>
      </c>
      <c r="BD76" s="5">
        <v>930</v>
      </c>
      <c r="BE76" s="6">
        <v>1513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5"/>
      <c r="B77" s="586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1458</v>
      </c>
      <c r="W77" s="255">
        <f>SUMIF(WMS용마재고!$A:$A,"S625-05.00", WMS용마재고!$L:$L)</f>
        <v>353</v>
      </c>
      <c r="X77" s="254">
        <f>SUMIF(WMS용마재고!$A:$A,"S625-05.25", WMS용마재고!$L:$L)</f>
        <v>0</v>
      </c>
      <c r="Y77" s="254">
        <f>SUMIF(WMS용마재고!$A:$A,"S625-05.50", WMS용마재고!$L:$L)</f>
        <v>275</v>
      </c>
      <c r="Z77" s="254">
        <f>SUMIF(WMS용마재고!$A:$A,"S625-05.75", WMS용마재고!$L:$L)</f>
        <v>0</v>
      </c>
      <c r="AA77" s="254">
        <f>SUMIF(WMS용마재고!$A:$A,"S625-06.00", WMS용마재고!$L:$L)</f>
        <v>1081</v>
      </c>
      <c r="AB77" s="254">
        <f>SUMIF(WMS용마재고!$A:$A,"S625-06.50", WMS용마재고!$L:$L)</f>
        <v>1139</v>
      </c>
      <c r="AC77" s="254">
        <f>SUMIF(WMS용마재고!$A:$A,"S625-07.00", WMS용마재고!$L:$L)</f>
        <v>1779</v>
      </c>
      <c r="AD77" s="254">
        <f>SUMIF(WMS용마재고!$A:$A,"S625-07.50", WMS용마재고!$L:$L)</f>
        <v>2246</v>
      </c>
      <c r="AE77" s="254">
        <f>SUMIF(WMS용마재고!$A:$A,"S625-08.00", WMS용마재고!$L:$L)</f>
        <v>1469</v>
      </c>
      <c r="AF77" s="254">
        <f>SUMIF(WMS용마재고!$A:$A,"S625-08.50", WMS용마재고!$L:$L)</f>
        <v>2032</v>
      </c>
      <c r="AG77" s="254">
        <f>SUMIF(WMS용마재고!$A:$A,"S625-09.00", WMS용마재고!$L:$L)</f>
        <v>1686</v>
      </c>
      <c r="AH77" s="254">
        <f>SUMIF(WMS용마재고!$A:$A,"S625-09.50", WMS용마재고!$L:$L)</f>
        <v>942</v>
      </c>
      <c r="AI77" s="254">
        <f>SUMIF(WMS용마재고!$A:$A,"S625-10.00", WMS용마재고!$L:$L)</f>
        <v>610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1458</v>
      </c>
      <c r="AO77" s="5">
        <v>353</v>
      </c>
      <c r="AP77" s="5">
        <v>0</v>
      </c>
      <c r="AQ77" s="5">
        <v>275</v>
      </c>
      <c r="AR77" s="5">
        <v>0</v>
      </c>
      <c r="AS77" s="5">
        <v>1081</v>
      </c>
      <c r="AT77" s="5">
        <v>1139</v>
      </c>
      <c r="AU77" s="5">
        <v>1779</v>
      </c>
      <c r="AV77" s="5">
        <v>2246</v>
      </c>
      <c r="AW77" s="5">
        <v>1469</v>
      </c>
      <c r="AX77" s="5">
        <v>2032</v>
      </c>
      <c r="AY77" s="5">
        <v>1686</v>
      </c>
      <c r="AZ77" s="5">
        <v>942</v>
      </c>
      <c r="BA77" s="5">
        <v>610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1">
        <v>38</v>
      </c>
      <c r="B78" s="589" t="s">
        <v>6812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931</v>
      </c>
      <c r="W78" s="259">
        <f>SUMIF(WMS용마재고!$A:$A,"S627-00.50", WMS용마재고!$L:$L)</f>
        <v>1949</v>
      </c>
      <c r="X78" s="259">
        <f>SUMIF(WMS용마재고!$A:$A,"S627-00.75", WMS용마재고!$L:$L)</f>
        <v>2311</v>
      </c>
      <c r="Y78" s="259">
        <f>SUMIF(WMS용마재고!$A:$A,"S627-01.00", WMS용마재고!$L:$L)</f>
        <v>1005</v>
      </c>
      <c r="Z78" s="259">
        <f>SUMIF(WMS용마재고!$A:$A,"S627-01.25", WMS용마재고!$L:$L)</f>
        <v>824</v>
      </c>
      <c r="AA78" s="259">
        <f>SUMIF(WMS용마재고!$A:$A,"S627-01.50", WMS용마재고!$L:$L)</f>
        <v>669</v>
      </c>
      <c r="AB78" s="259">
        <f>SUMIF(WMS용마재고!$A:$A,"S627-01.75", WMS용마재고!$L:$L)</f>
        <v>496</v>
      </c>
      <c r="AC78" s="259">
        <f>SUMIF(WMS용마재고!$A:$A,"S627-02.00", WMS용마재고!$L:$L)</f>
        <v>824</v>
      </c>
      <c r="AD78" s="259">
        <f>SUMIF(WMS용마재고!$A:$A,"S627-02.25", WMS용마재고!$L:$L)</f>
        <v>892</v>
      </c>
      <c r="AE78" s="259">
        <f>SUMIF(WMS용마재고!$A:$A,"S627-02.50", WMS용마재고!$L:$L)</f>
        <v>664</v>
      </c>
      <c r="AF78" s="259">
        <f>SUMIF(WMS용마재고!$A:$A,"S627-02.75", WMS용마재고!$L:$L)</f>
        <v>595</v>
      </c>
      <c r="AG78" s="259">
        <f>SUMIF(WMS용마재고!$A:$A,"S627-03.00", WMS용마재고!$L:$L)</f>
        <v>562</v>
      </c>
      <c r="AH78" s="259">
        <f>SUMIF(WMS용마재고!$A:$A,"S627-03.25", WMS용마재고!$L:$L)</f>
        <v>884</v>
      </c>
      <c r="AI78" s="259">
        <f>SUMIF(WMS용마재고!$A:$A,"S627-03.50", WMS용마재고!$L:$L)</f>
        <v>533</v>
      </c>
      <c r="AJ78" s="259">
        <f>SUMIF(WMS용마재고!$A:$A,"S627-03.75", WMS용마재고!$L:$L)</f>
        <v>851</v>
      </c>
      <c r="AK78" s="259">
        <f>SUMIF(WMS용마재고!$A:$A,"S627-04.00", WMS용마재고!$L:$L)</f>
        <v>814</v>
      </c>
      <c r="AL78" s="259">
        <f>SUMIF(WMS용마재고!$A:$A,"S627-04.25", WMS용마재고!$L:$L)</f>
        <v>1016</v>
      </c>
      <c r="AM78" s="317">
        <f>SUMIF(WMS용마재고!$A:$A,"S627-04.50", WMS용마재고!$L:$L)</f>
        <v>1211</v>
      </c>
      <c r="AN78" s="9">
        <v>931</v>
      </c>
      <c r="AO78" s="5">
        <v>1949</v>
      </c>
      <c r="AP78" s="5">
        <v>2311</v>
      </c>
      <c r="AQ78" s="5">
        <v>1005</v>
      </c>
      <c r="AR78" s="5">
        <v>824</v>
      </c>
      <c r="AS78" s="5">
        <v>669</v>
      </c>
      <c r="AT78" s="5">
        <v>496</v>
      </c>
      <c r="AU78" s="5">
        <v>824</v>
      </c>
      <c r="AV78" s="5">
        <v>892</v>
      </c>
      <c r="AW78" s="5">
        <v>664</v>
      </c>
      <c r="AX78" s="5">
        <v>595</v>
      </c>
      <c r="AY78" s="5">
        <v>562</v>
      </c>
      <c r="AZ78" s="5">
        <v>884</v>
      </c>
      <c r="BA78" s="5">
        <v>533</v>
      </c>
      <c r="BB78" s="5">
        <v>851</v>
      </c>
      <c r="BC78" s="5">
        <v>814</v>
      </c>
      <c r="BD78" s="5">
        <v>1016</v>
      </c>
      <c r="BE78" s="6">
        <v>1211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2"/>
      <c r="B79" s="590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1295</v>
      </c>
      <c r="W79" s="264">
        <f>SUMIF(WMS용마재고!$A:$A,"S627-05.00", WMS용마재고!$L:$L)</f>
        <v>401</v>
      </c>
      <c r="X79" s="264">
        <f>SUMIF(WMS용마재고!$A:$A,"S627-05.25", WMS용마재고!$L:$L)</f>
        <v>0</v>
      </c>
      <c r="Y79" s="264">
        <f>SUMIF(WMS용마재고!$A:$A,"S627-05.50", WMS용마재고!$L:$L)</f>
        <v>499</v>
      </c>
      <c r="Z79" s="264">
        <f>SUMIF(WMS용마재고!$A:$A,"S627-05.75", WMS용마재고!$L:$L)</f>
        <v>0</v>
      </c>
      <c r="AA79" s="264">
        <f>SUMIF(WMS용마재고!$A:$A,"S627-06.00", WMS용마재고!$L:$L)</f>
        <v>1212</v>
      </c>
      <c r="AB79" s="264">
        <f>SUMIF(WMS용마재고!$A:$A,"S627-06.50", WMS용마재고!$L:$L)</f>
        <v>1439</v>
      </c>
      <c r="AC79" s="264">
        <f>SUMIF(WMS용마재고!$A:$A,"S627-07.00", WMS용마재고!$L:$L)</f>
        <v>2101</v>
      </c>
      <c r="AD79" s="264">
        <f>SUMIF(WMS용마재고!$A:$A,"S627-07.50", WMS용마재고!$L:$L)</f>
        <v>2639</v>
      </c>
      <c r="AE79" s="264">
        <f>SUMIF(WMS용마재고!$A:$A,"S627-08.00", WMS용마재고!$L:$L)</f>
        <v>1349</v>
      </c>
      <c r="AF79" s="264">
        <f>SUMIF(WMS용마재고!$A:$A,"S627-08.50", WMS용마재고!$L:$L)</f>
        <v>2223</v>
      </c>
      <c r="AG79" s="264">
        <f>SUMIF(WMS용마재고!$A:$A,"S627-09.00", WMS용마재고!$L:$L)</f>
        <v>2268</v>
      </c>
      <c r="AH79" s="264">
        <f>SUMIF(WMS용마재고!$A:$A,"S627-09.50", WMS용마재고!$L:$L)</f>
        <v>510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1295</v>
      </c>
      <c r="AO79" s="5">
        <v>401</v>
      </c>
      <c r="AP79" s="5">
        <v>0</v>
      </c>
      <c r="AQ79" s="5">
        <v>499</v>
      </c>
      <c r="AR79" s="5">
        <v>0</v>
      </c>
      <c r="AS79" s="5">
        <v>1212</v>
      </c>
      <c r="AT79" s="5">
        <v>1439</v>
      </c>
      <c r="AU79" s="5">
        <v>2101</v>
      </c>
      <c r="AV79" s="5">
        <v>2639</v>
      </c>
      <c r="AW79" s="5">
        <v>1349</v>
      </c>
      <c r="AX79" s="5">
        <v>2223</v>
      </c>
      <c r="AY79" s="5">
        <v>2268</v>
      </c>
      <c r="AZ79" s="5">
        <v>510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1">
        <v>42</v>
      </c>
      <c r="B80" s="589" t="s">
        <v>6813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258</v>
      </c>
      <c r="W80" s="259">
        <f>SUMIF(WMS용마재고!$A:$A,"S617-00.50", WMS용마재고!$L:$L)</f>
        <v>456</v>
      </c>
      <c r="X80" s="259">
        <f>SUMIF(WMS용마재고!$A:$A,"S617-00.75", WMS용마재고!$L:$L)</f>
        <v>622</v>
      </c>
      <c r="Y80" s="259">
        <f>SUMIF(WMS용마재고!$A:$A,"S617-01.00", WMS용마재고!$L:$L)</f>
        <v>373</v>
      </c>
      <c r="Z80" s="259">
        <f>SUMIF(WMS용마재고!$A:$A,"S617-01.25", WMS용마재고!$L:$L)</f>
        <v>428</v>
      </c>
      <c r="AA80" s="259">
        <f>SUMIF(WMS용마재고!$A:$A,"S617-01.50", WMS용마재고!$L:$L)</f>
        <v>97</v>
      </c>
      <c r="AB80" s="259">
        <f>SUMIF(WMS용마재고!$A:$A,"S617-01.75", WMS용마재고!$L:$L)</f>
        <v>242</v>
      </c>
      <c r="AC80" s="259">
        <f>SUMIF(WMS용마재고!$A:$A,"S617-02.00", WMS용마재고!$L:$L)</f>
        <v>264</v>
      </c>
      <c r="AD80" s="259">
        <f>SUMIF(WMS용마재고!$A:$A,"S617-02.25", WMS용마재고!$L:$L)</f>
        <v>307</v>
      </c>
      <c r="AE80" s="259">
        <f>SUMIF(WMS용마재고!$A:$A,"S617-02.50", WMS용마재고!$L:$L)</f>
        <v>303</v>
      </c>
      <c r="AF80" s="259">
        <f>SUMIF(WMS용마재고!$A:$A,"S617-02.75", WMS용마재고!$L:$L)</f>
        <v>327</v>
      </c>
      <c r="AG80" s="259">
        <f>SUMIF(WMS용마재고!$A:$A,"S617-03.00", WMS용마재고!$L:$L)</f>
        <v>403</v>
      </c>
      <c r="AH80" s="259">
        <f>SUMIF(WMS용마재고!$A:$A,"S617-03.25", WMS용마재고!$L:$L)</f>
        <v>85</v>
      </c>
      <c r="AI80" s="259">
        <f>SUMIF(WMS용마재고!$A:$A,"S617-03.50", WMS용마재고!$L:$L)</f>
        <v>224</v>
      </c>
      <c r="AJ80" s="259">
        <f>SUMIF(WMS용마재고!$A:$A,"S617-03.75", WMS용마재고!$L:$L)</f>
        <v>363</v>
      </c>
      <c r="AK80" s="259">
        <f>SUMIF(WMS용마재고!$A:$A,"S617-04.00", WMS용마재고!$L:$L)</f>
        <v>254</v>
      </c>
      <c r="AL80" s="259">
        <f>SUMIF(WMS용마재고!$A:$A,"S617-04.25", WMS용마재고!$L:$L)</f>
        <v>437</v>
      </c>
      <c r="AM80" s="317">
        <f>SUMIF(WMS용마재고!$A:$A,"S617-04.50", WMS용마재고!$L:$L)</f>
        <v>294</v>
      </c>
      <c r="AN80" s="9">
        <v>258</v>
      </c>
      <c r="AO80" s="5">
        <v>456</v>
      </c>
      <c r="AP80" s="5">
        <v>622</v>
      </c>
      <c r="AQ80" s="5">
        <v>373</v>
      </c>
      <c r="AR80" s="5">
        <v>428</v>
      </c>
      <c r="AS80" s="5">
        <v>97</v>
      </c>
      <c r="AT80" s="5">
        <v>242</v>
      </c>
      <c r="AU80" s="5">
        <v>264</v>
      </c>
      <c r="AV80" s="5">
        <v>307</v>
      </c>
      <c r="AW80" s="5">
        <v>303</v>
      </c>
      <c r="AX80" s="5">
        <v>327</v>
      </c>
      <c r="AY80" s="5">
        <v>403</v>
      </c>
      <c r="AZ80" s="5">
        <v>85</v>
      </c>
      <c r="BA80" s="5">
        <v>224</v>
      </c>
      <c r="BB80" s="5">
        <v>363</v>
      </c>
      <c r="BC80" s="5">
        <v>254</v>
      </c>
      <c r="BD80" s="5">
        <v>437</v>
      </c>
      <c r="BE80" s="6">
        <v>294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2"/>
      <c r="B81" s="590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418</v>
      </c>
      <c r="W81" s="264">
        <f>SUMIF(WMS용마재고!$A:$A,"S617-05.00", WMS용마재고!$L:$L)</f>
        <v>412</v>
      </c>
      <c r="X81" s="264">
        <f>SUMIF(WMS용마재고!$A:$A,"S617-05.25", WMS용마재고!$L:$L)</f>
        <v>0</v>
      </c>
      <c r="Y81" s="264">
        <f>SUMIF(WMS용마재고!$A:$A,"S617-05.50", WMS용마재고!$L:$L)</f>
        <v>400</v>
      </c>
      <c r="Z81" s="264">
        <f>SUMIF(WMS용마재고!$A:$A,"S617-05.75", WMS용마재고!$L:$L)</f>
        <v>0</v>
      </c>
      <c r="AA81" s="264">
        <f>SUMIF(WMS용마재고!$A:$A,"S617-06.00", WMS용마재고!$L:$L)</f>
        <v>606</v>
      </c>
      <c r="AB81" s="264">
        <f>SUMIF(WMS용마재고!$A:$A,"S617-06.50", WMS용마재고!$L:$L)</f>
        <v>399</v>
      </c>
      <c r="AC81" s="264">
        <f>SUMIF(WMS용마재고!$A:$A,"S617-07.00", WMS용마재고!$L:$L)</f>
        <v>1077</v>
      </c>
      <c r="AD81" s="264">
        <f>SUMIF(WMS용마재고!$A:$A,"S617-07.50", WMS용마재고!$L:$L)</f>
        <v>2695</v>
      </c>
      <c r="AE81" s="264">
        <f>SUMIF(WMS용마재고!$A:$A,"S617-08.00", WMS용마재고!$L:$L)</f>
        <v>1597</v>
      </c>
      <c r="AF81" s="264">
        <f>SUMIF(WMS용마재고!$A:$A,"S617-08.50", WMS용마재고!$L:$L)</f>
        <v>2228</v>
      </c>
      <c r="AG81" s="264">
        <f>SUMIF(WMS용마재고!$A:$A,"S617-09.00", WMS용마재고!$L:$L)</f>
        <v>2434</v>
      </c>
      <c r="AH81" s="264">
        <f>SUMIF(WMS용마재고!$A:$A,"S617-09.50", WMS용마재고!$L:$L)</f>
        <v>164</v>
      </c>
      <c r="AI81" s="264">
        <f>SUMIF(WMS용마재고!$A:$A,"S617-10.00", WMS용마재고!$L:$L)</f>
        <v>157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418</v>
      </c>
      <c r="AO81" s="5">
        <v>412</v>
      </c>
      <c r="AP81" s="5">
        <v>0</v>
      </c>
      <c r="AQ81" s="5">
        <v>400</v>
      </c>
      <c r="AR81" s="5">
        <v>0</v>
      </c>
      <c r="AS81" s="5">
        <v>606</v>
      </c>
      <c r="AT81" s="5">
        <v>399</v>
      </c>
      <c r="AU81" s="5">
        <v>1077</v>
      </c>
      <c r="AV81" s="5">
        <v>2695</v>
      </c>
      <c r="AW81" s="5">
        <v>1597</v>
      </c>
      <c r="AX81" s="5">
        <v>2228</v>
      </c>
      <c r="AY81" s="5">
        <v>2434</v>
      </c>
      <c r="AZ81" s="5">
        <v>164</v>
      </c>
      <c r="BA81" s="5">
        <v>157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4">
        <v>43</v>
      </c>
      <c r="B82" s="592" t="s">
        <v>6814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559</v>
      </c>
      <c r="W82" s="259">
        <f>SUMIF(WMS용마재고!$A:$A,"S619-00.50", WMS용마재고!$L:$L)</f>
        <v>597</v>
      </c>
      <c r="X82" s="259">
        <f>SUMIF(WMS용마재고!$A:$A,"S619-00.75", WMS용마재고!$L:$L)</f>
        <v>1585</v>
      </c>
      <c r="Y82" s="259">
        <f>SUMIF(WMS용마재고!$A:$A,"S619-01.00", WMS용마재고!$L:$L)</f>
        <v>309</v>
      </c>
      <c r="Z82" s="259">
        <f>SUMIF(WMS용마재고!$A:$A,"S619-01.25", WMS용마재고!$L:$L)</f>
        <v>326</v>
      </c>
      <c r="AA82" s="259">
        <f>SUMIF(WMS용마재고!$A:$A,"S619-01.50", WMS용마재고!$L:$L)</f>
        <v>181</v>
      </c>
      <c r="AB82" s="259">
        <f>SUMIF(WMS용마재고!$A:$A,"S619-01.75", WMS용마재고!$L:$L)</f>
        <v>38</v>
      </c>
      <c r="AC82" s="259">
        <f>SUMIF(WMS용마재고!$A:$A,"S619-02.00", WMS용마재고!$L:$L)</f>
        <v>288</v>
      </c>
      <c r="AD82" s="259">
        <f>SUMIF(WMS용마재고!$A:$A,"S619-02.25", WMS용마재고!$L:$L)</f>
        <v>135</v>
      </c>
      <c r="AE82" s="259">
        <f>SUMIF(WMS용마재고!$A:$A,"S619-02.50", WMS용마재고!$L:$L)</f>
        <v>253</v>
      </c>
      <c r="AF82" s="259">
        <f>SUMIF(WMS용마재고!$A:$A,"S619-02.75", WMS용마재고!$L:$L)</f>
        <v>238</v>
      </c>
      <c r="AG82" s="259">
        <f>SUMIF(WMS용마재고!$A:$A,"S619-03.00", WMS용마재고!$L:$L)</f>
        <v>371</v>
      </c>
      <c r="AH82" s="259">
        <f>SUMIF(WMS용마재고!$A:$A,"S619-03.25", WMS용마재고!$L:$L)</f>
        <v>488</v>
      </c>
      <c r="AI82" s="259">
        <f>SUMIF(WMS용마재고!$A:$A,"S619-03.50", WMS용마재고!$L:$L)</f>
        <v>373</v>
      </c>
      <c r="AJ82" s="259">
        <f>SUMIF(WMS용마재고!$A:$A,"S619-03.75", WMS용마재고!$L:$L)</f>
        <v>68</v>
      </c>
      <c r="AK82" s="259">
        <f>SUMIF(WMS용마재고!$A:$A,"S619-04.00", WMS용마재고!$L:$L)</f>
        <v>608</v>
      </c>
      <c r="AL82" s="259">
        <f>SUMIF(WMS용마재고!$A:$A,"S619-04.25", WMS용마재고!$L:$L)</f>
        <v>1043</v>
      </c>
      <c r="AM82" s="317">
        <f>SUMIF(WMS용마재고!$A:$A,"S619-04.50", WMS용마재고!$L:$L)</f>
        <v>484</v>
      </c>
      <c r="AN82" s="9">
        <v>559</v>
      </c>
      <c r="AO82" s="5">
        <v>597</v>
      </c>
      <c r="AP82" s="5">
        <v>1585</v>
      </c>
      <c r="AQ82" s="5">
        <v>309</v>
      </c>
      <c r="AR82" s="5">
        <v>326</v>
      </c>
      <c r="AS82" s="5">
        <v>181</v>
      </c>
      <c r="AT82" s="5">
        <v>38</v>
      </c>
      <c r="AU82" s="5">
        <v>288</v>
      </c>
      <c r="AV82" s="5">
        <v>135</v>
      </c>
      <c r="AW82" s="5">
        <v>253</v>
      </c>
      <c r="AX82" s="5">
        <v>238</v>
      </c>
      <c r="AY82" s="5">
        <v>371</v>
      </c>
      <c r="AZ82" s="5">
        <v>488</v>
      </c>
      <c r="BA82" s="5">
        <v>373</v>
      </c>
      <c r="BB82" s="5">
        <v>68</v>
      </c>
      <c r="BC82" s="5">
        <v>608</v>
      </c>
      <c r="BD82" s="5">
        <v>1043</v>
      </c>
      <c r="BE82" s="6">
        <v>484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5"/>
      <c r="B83" s="586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938</v>
      </c>
      <c r="W83" s="264">
        <f>SUMIF(WMS용마재고!$A:$A,"S619-05.00", WMS용마재고!$L:$L)</f>
        <v>119</v>
      </c>
      <c r="X83" s="264">
        <f>SUMIF(WMS용마재고!$A:$A,"S619-05.25", WMS용마재고!$L:$L)</f>
        <v>0</v>
      </c>
      <c r="Y83" s="264">
        <f>SUMIF(WMS용마재고!$A:$A,"S619-05.50", WMS용마재고!$L:$L)</f>
        <v>77</v>
      </c>
      <c r="Z83" s="264">
        <f>SUMIF(WMS용마재고!$A:$A,"S619-05.75", WMS용마재고!$L:$L)</f>
        <v>0</v>
      </c>
      <c r="AA83" s="264">
        <f>SUMIF(WMS용마재고!$A:$A,"S619-06.00", WMS용마재고!$L:$L)</f>
        <v>601</v>
      </c>
      <c r="AB83" s="264">
        <f>SUMIF(WMS용마재고!$A:$A,"S619-06.50", WMS용마재고!$L:$L)</f>
        <v>627</v>
      </c>
      <c r="AC83" s="264">
        <f>SUMIF(WMS용마재고!$A:$A,"S619-07.00", WMS용마재고!$L:$L)</f>
        <v>1201</v>
      </c>
      <c r="AD83" s="264">
        <f>SUMIF(WMS용마재고!$A:$A,"S619-07.50", WMS용마재고!$L:$L)</f>
        <v>1475</v>
      </c>
      <c r="AE83" s="264">
        <f>SUMIF(WMS용마재고!$A:$A,"S619-08.00", WMS용마재고!$L:$L)</f>
        <v>1691</v>
      </c>
      <c r="AF83" s="264">
        <f>SUMIF(WMS용마재고!$A:$A,"S619-08.50", WMS용마재고!$L:$L)</f>
        <v>2104</v>
      </c>
      <c r="AG83" s="264">
        <f>SUMIF(WMS용마재고!$A:$A,"S619-09.00", WMS용마재고!$L:$L)</f>
        <v>2006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938</v>
      </c>
      <c r="AO83" s="5">
        <v>119</v>
      </c>
      <c r="AP83" s="5">
        <v>0</v>
      </c>
      <c r="AQ83" s="5">
        <v>77</v>
      </c>
      <c r="AR83" s="5">
        <v>0</v>
      </c>
      <c r="AS83" s="5">
        <v>601</v>
      </c>
      <c r="AT83" s="5">
        <v>627</v>
      </c>
      <c r="AU83" s="5">
        <v>1201</v>
      </c>
      <c r="AV83" s="5">
        <v>1475</v>
      </c>
      <c r="AW83" s="5">
        <v>1691</v>
      </c>
      <c r="AX83" s="5">
        <v>2104</v>
      </c>
      <c r="AY83" s="5">
        <v>2006</v>
      </c>
      <c r="AZ83" s="5">
        <v>598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8">
        <v>36</v>
      </c>
      <c r="B84" s="580" t="s">
        <v>6613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637</v>
      </c>
      <c r="X84" s="259">
        <f>SUMIF(WMS용마재고!$A:$A,"S181-00.75", WMS용마재고!$L:$L)</f>
        <v>2114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319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368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637</v>
      </c>
      <c r="AP84" s="9">
        <v>2114</v>
      </c>
      <c r="AQ84" s="9">
        <v>303</v>
      </c>
      <c r="AR84" s="9">
        <v>278</v>
      </c>
      <c r="AS84" s="9">
        <v>319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9"/>
      <c r="B85" s="577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273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261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1">
        <v>42</v>
      </c>
      <c r="B86" s="589" t="s">
        <v>6614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2"/>
      <c r="B87" s="590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4">
        <v>43</v>
      </c>
      <c r="B88" s="592" t="s">
        <v>6615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5"/>
      <c r="B89" s="586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4">
        <v>39</v>
      </c>
      <c r="B90" s="566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424</v>
      </c>
      <c r="X90" s="259">
        <f>SUMIF(WMS용마재고!$A:$A,"s653-00.75", WMS용마재고!$L:$L)</f>
        <v>496</v>
      </c>
      <c r="Y90" s="259">
        <f>SUMIF(WMS용마재고!$A:$A,"s653-01.00", WMS용마재고!$L:$L)</f>
        <v>718</v>
      </c>
      <c r="Z90" s="259">
        <f>SUMIF(WMS용마재고!$A:$A,"s653-01.25", WMS용마재고!$L:$L)</f>
        <v>756</v>
      </c>
      <c r="AA90" s="259">
        <f>SUMIF(WMS용마재고!$A:$A,"s653-01.50", WMS용마재고!$L:$L)</f>
        <v>448</v>
      </c>
      <c r="AB90" s="259">
        <f>SUMIF(WMS용마재고!$A:$A,"s653-01.75", WMS용마재고!$L:$L)</f>
        <v>338</v>
      </c>
      <c r="AC90" s="259">
        <f>SUMIF(WMS용마재고!$A:$A,"s653-02.00", WMS용마재고!$L:$L)</f>
        <v>1190</v>
      </c>
      <c r="AD90" s="259">
        <f>SUMIF(WMS용마재고!$A:$A,"s653-02.25", WMS용마재고!$L:$L)</f>
        <v>783</v>
      </c>
      <c r="AE90" s="259">
        <f>SUMIF(WMS용마재고!$A:$A,"s653-02.50", WMS용마재고!$L:$L)</f>
        <v>516</v>
      </c>
      <c r="AF90" s="259">
        <f>SUMIF(WMS용마재고!$A:$A,"s653-02.75", WMS용마재고!$L:$L)</f>
        <v>613</v>
      </c>
      <c r="AG90" s="259">
        <f>SUMIF(WMS용마재고!$A:$A,"s653-03.00", WMS용마재고!$L:$L)</f>
        <v>713</v>
      </c>
      <c r="AH90" s="259">
        <f>SUMIF(WMS용마재고!$A:$A,"s653-03.25", WMS용마재고!$L:$L)</f>
        <v>488</v>
      </c>
      <c r="AI90" s="259">
        <f>SUMIF(WMS용마재고!$A:$A,"s653-03.50", WMS용마재고!$L:$L)</f>
        <v>717</v>
      </c>
      <c r="AJ90" s="259">
        <f>SUMIF(WMS용마재고!$A:$A,"s653-03.75", WMS용마재고!$L:$L)</f>
        <v>919</v>
      </c>
      <c r="AK90" s="259">
        <f>SUMIF(WMS용마재고!$A:$A,"s653-04.00", WMS용마재고!$L:$L)</f>
        <v>314</v>
      </c>
      <c r="AL90" s="259">
        <f>SUMIF(WMS용마재고!$A:$A,"s653-04.25", WMS용마재고!$L:$L)</f>
        <v>468</v>
      </c>
      <c r="AM90" s="317">
        <f>SUMIF(WMS용마재고!$A:$A,"s653-04.50", WMS용마재고!$L:$L)</f>
        <v>338</v>
      </c>
      <c r="AN90" s="9">
        <v>0</v>
      </c>
      <c r="AO90" s="5">
        <v>424</v>
      </c>
      <c r="AP90" s="5">
        <v>496</v>
      </c>
      <c r="AQ90" s="151">
        <v>718</v>
      </c>
      <c r="AR90" s="150">
        <v>756</v>
      </c>
      <c r="AS90" s="5">
        <v>448</v>
      </c>
      <c r="AT90" s="5">
        <v>338</v>
      </c>
      <c r="AU90" s="151">
        <v>1190</v>
      </c>
      <c r="AV90" s="9">
        <v>783</v>
      </c>
      <c r="AW90" s="5">
        <v>516</v>
      </c>
      <c r="AX90" s="5">
        <v>613</v>
      </c>
      <c r="AY90" s="5">
        <v>713</v>
      </c>
      <c r="AZ90" s="150">
        <v>488</v>
      </c>
      <c r="BA90" s="5">
        <v>717</v>
      </c>
      <c r="BB90" s="5">
        <v>919</v>
      </c>
      <c r="BC90" s="151">
        <v>314</v>
      </c>
      <c r="BD90" s="9">
        <v>468</v>
      </c>
      <c r="BE90" s="152">
        <v>338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5"/>
      <c r="B91" s="567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556</v>
      </c>
      <c r="W91" s="264">
        <f>SUMIF(WMS용마재고!$A:$A,"s653-05.00", WMS용마재고!$L:$L)</f>
        <v>109</v>
      </c>
      <c r="X91" s="264">
        <f>SUMIF(WMS용마재고!$A:$A,"s653-05.25", WMS용마재고!$L:$L)</f>
        <v>0</v>
      </c>
      <c r="Y91" s="264">
        <f>SUMIF(WMS용마재고!$A:$A,"s653-05.50", WMS용마재고!$L:$L)</f>
        <v>178</v>
      </c>
      <c r="Z91" s="264">
        <f>SUMIF(WMS용마재고!$A:$A,"s653-05.75", WMS용마재고!$L:$L)</f>
        <v>0</v>
      </c>
      <c r="AA91" s="264">
        <f>SUMIF(WMS용마재고!$A:$A,"s653-06.00", WMS용마재고!$L:$L)</f>
        <v>512</v>
      </c>
      <c r="AB91" s="264">
        <f>SUMIF(WMS용마재고!$A:$A,"s653-06.50", WMS용마재고!$L:$L)</f>
        <v>854</v>
      </c>
      <c r="AC91" s="264">
        <f>SUMIF(WMS용마재고!$A:$A,"s653-07.00", WMS용마재고!$L:$L)</f>
        <v>1126</v>
      </c>
      <c r="AD91" s="264">
        <f>SUMIF(WMS용마재고!$A:$A,"s653-07.50", WMS용마재고!$L:$L)</f>
        <v>82</v>
      </c>
      <c r="AE91" s="264">
        <f>SUMIF(WMS용마재고!$A:$A,"s653-08.00", WMS용마재고!$L:$L)</f>
        <v>66</v>
      </c>
      <c r="AF91" s="264">
        <f>SUMIF(WMS용마재고!$A:$A,"s653-08.50", WMS용마재고!$L:$L)</f>
        <v>360</v>
      </c>
      <c r="AG91" s="264">
        <f>SUMIF(WMS용마재고!$A:$A,"s653-09.00", WMS용마재고!$L:$L)</f>
        <v>233</v>
      </c>
      <c r="AH91" s="264">
        <f>SUMIF(WMS용마재고!$A:$A,"s653-09.50", WMS용마재고!$L:$L)</f>
        <v>239</v>
      </c>
      <c r="AI91" s="264">
        <f>SUMIF(WMS용마재고!$A:$A,"s653-10.00", WMS용마재고!$L:$L)</f>
        <v>392</v>
      </c>
      <c r="AJ91" s="264">
        <f>SUMIF(WMS용마재고!$A:$A,"s653-10.50", WMS용마재고!$L:$L)</f>
        <v>189</v>
      </c>
      <c r="AK91" s="264">
        <f>SUMIF(WMS용마재고!$A:$A,"s653-11.00", WMS용마재고!$L:$L)</f>
        <v>160</v>
      </c>
      <c r="AL91" s="264">
        <f>SUMIF(WMS용마재고!$A:$A,"s653-11.50", WMS용마재고!$L:$L)</f>
        <v>215</v>
      </c>
      <c r="AM91" s="318">
        <f>SUMIF(WMS용마재고!$A:$A,"s653-12.00", WMS용마재고!$L:$L)</f>
        <v>195</v>
      </c>
      <c r="AN91" s="9">
        <v>556</v>
      </c>
      <c r="AO91" s="5">
        <v>109</v>
      </c>
      <c r="AP91" s="5">
        <v>0</v>
      </c>
      <c r="AQ91" s="151">
        <v>178</v>
      </c>
      <c r="AR91" s="150">
        <v>0</v>
      </c>
      <c r="AS91" s="5">
        <v>512</v>
      </c>
      <c r="AT91" s="5">
        <v>854</v>
      </c>
      <c r="AU91" s="151">
        <v>1126</v>
      </c>
      <c r="AV91" s="9">
        <v>82</v>
      </c>
      <c r="AW91" s="5">
        <v>66</v>
      </c>
      <c r="AX91" s="5">
        <v>360</v>
      </c>
      <c r="AY91" s="5">
        <v>233</v>
      </c>
      <c r="AZ91" s="150">
        <v>239</v>
      </c>
      <c r="BA91" s="5">
        <v>392</v>
      </c>
      <c r="BB91" s="5">
        <v>189</v>
      </c>
      <c r="BC91" s="151">
        <v>160</v>
      </c>
      <c r="BD91" s="9">
        <v>215</v>
      </c>
      <c r="BE91" s="152">
        <v>195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6">
        <v>40</v>
      </c>
      <c r="B92" s="628" t="s">
        <v>3887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514</v>
      </c>
      <c r="X92" s="259">
        <f>SUMIF(WMS용마재고!$A:$A,"S654-00.75", WMS용마재고!$L:$L)</f>
        <v>434</v>
      </c>
      <c r="Y92" s="259">
        <f>SUMIF(WMS용마재고!$A:$A,"S654-01.00", WMS용마재고!$L:$L)</f>
        <v>315</v>
      </c>
      <c r="Z92" s="259">
        <f>SUMIF(WMS용마재고!$A:$A,"S654-01.25", WMS용마재고!$L:$L)</f>
        <v>699</v>
      </c>
      <c r="AA92" s="259">
        <f>SUMIF(WMS용마재고!$A:$A,"S654-01.50", WMS용마재고!$L:$L)</f>
        <v>377</v>
      </c>
      <c r="AB92" s="259">
        <f>SUMIF(WMS용마재고!$A:$A,"S654-01.75", WMS용마재고!$L:$L)</f>
        <v>298</v>
      </c>
      <c r="AC92" s="259">
        <f>SUMIF(WMS용마재고!$A:$A,"S654-02.00", WMS용마재고!$L:$L)</f>
        <v>360</v>
      </c>
      <c r="AD92" s="259">
        <f>SUMIF(WMS용마재고!$A:$A,"S654-02.25", WMS용마재고!$L:$L)</f>
        <v>306</v>
      </c>
      <c r="AE92" s="259">
        <f>SUMIF(WMS용마재고!$A:$A,"S654-02.50", WMS용마재고!$L:$L)</f>
        <v>1198</v>
      </c>
      <c r="AF92" s="259">
        <f>SUMIF(WMS용마재고!$A:$A,"S654-02.75", WMS용마재고!$L:$L)</f>
        <v>352</v>
      </c>
      <c r="AG92" s="259">
        <f>SUMIF(WMS용마재고!$A:$A,"S654-03.00", WMS용마재고!$L:$L)</f>
        <v>298</v>
      </c>
      <c r="AH92" s="259">
        <f>SUMIF(WMS용마재고!$A:$A,"S654-03.25", WMS용마재고!$L:$L)</f>
        <v>356</v>
      </c>
      <c r="AI92" s="259">
        <f>SUMIF(WMS용마재고!$A:$A,"S654-03.50", WMS용마재고!$L:$L)</f>
        <v>346</v>
      </c>
      <c r="AJ92" s="259">
        <f>SUMIF(WMS용마재고!$A:$A,"S654-03.75", WMS용마재고!$L:$L)</f>
        <v>317</v>
      </c>
      <c r="AK92" s="259">
        <f>SUMIF(WMS용마재고!$A:$A,"S654-04.00", WMS용마재고!$L:$L)</f>
        <v>389</v>
      </c>
      <c r="AL92" s="259">
        <f>SUMIF(WMS용마재고!$A:$A,"S654-04.25", WMS용마재고!$L:$L)</f>
        <v>306</v>
      </c>
      <c r="AM92" s="317">
        <f>SUMIF(WMS용마재고!$A:$A,"S654-04.50", WMS용마재고!$L:$L)</f>
        <v>312</v>
      </c>
      <c r="AN92" s="9">
        <v>0</v>
      </c>
      <c r="AO92" s="5">
        <v>514</v>
      </c>
      <c r="AP92" s="5">
        <v>434</v>
      </c>
      <c r="AQ92" s="151">
        <v>315</v>
      </c>
      <c r="AR92" s="150">
        <v>699</v>
      </c>
      <c r="AS92" s="5">
        <v>377</v>
      </c>
      <c r="AT92" s="5">
        <v>298</v>
      </c>
      <c r="AU92" s="151">
        <v>360</v>
      </c>
      <c r="AV92" s="9">
        <v>306</v>
      </c>
      <c r="AW92" s="5">
        <v>1198</v>
      </c>
      <c r="AX92" s="5">
        <v>352</v>
      </c>
      <c r="AY92" s="5">
        <v>298</v>
      </c>
      <c r="AZ92" s="150">
        <v>356</v>
      </c>
      <c r="BA92" s="5">
        <v>346</v>
      </c>
      <c r="BB92" s="5">
        <v>317</v>
      </c>
      <c r="BC92" s="151">
        <v>389</v>
      </c>
      <c r="BD92" s="9">
        <v>306</v>
      </c>
      <c r="BE92" s="152">
        <v>312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7"/>
      <c r="B93" s="629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278</v>
      </c>
      <c r="W93" s="264">
        <f>SUMIF(WMS용마재고!$A:$A,"S654-05.00", WMS용마재고!$L:$L)</f>
        <v>314</v>
      </c>
      <c r="X93" s="264">
        <f>SUMIF(WMS용마재고!$A:$A,"S654-05.25", WMS용마재고!$L:$L)</f>
        <v>0</v>
      </c>
      <c r="Y93" s="264">
        <f>SUMIF(WMS용마재고!$A:$A,"S654-05.50", WMS용마재고!$L:$L)</f>
        <v>306</v>
      </c>
      <c r="Z93" s="264">
        <f>SUMIF(WMS용마재고!$A:$A,"S654-05.75", WMS용마재고!$L:$L)</f>
        <v>0</v>
      </c>
      <c r="AA93" s="264">
        <f>SUMIF(WMS용마재고!$A:$A,"S654-06.00", WMS용마재고!$L:$L)</f>
        <v>332</v>
      </c>
      <c r="AB93" s="264">
        <f>SUMIF(WMS용마재고!$A:$A,"S654-06.50", WMS용마재고!$L:$L)</f>
        <v>349</v>
      </c>
      <c r="AC93" s="264">
        <f>SUMIF(WMS용마재고!$A:$A,"S654-07.00", WMS용마재고!$L:$L)</f>
        <v>293</v>
      </c>
      <c r="AD93" s="264">
        <f>SUMIF(WMS용마재고!$A:$A,"S654-07.50", WMS용마재고!$L:$L)</f>
        <v>164</v>
      </c>
      <c r="AE93" s="264">
        <f>SUMIF(WMS용마재고!$A:$A,"S654-08.00", WMS용마재고!$L:$L)</f>
        <v>161</v>
      </c>
      <c r="AF93" s="264">
        <f>SUMIF(WMS용마재고!$A:$A,"S654-08.50", WMS용마재고!$L:$L)</f>
        <v>943</v>
      </c>
      <c r="AG93" s="264">
        <f>SUMIF(WMS용마재고!$A:$A,"S654-09.00", WMS용마재고!$L:$L)</f>
        <v>284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278</v>
      </c>
      <c r="AO93" s="5">
        <v>314</v>
      </c>
      <c r="AP93" s="5">
        <v>0</v>
      </c>
      <c r="AQ93" s="151">
        <v>306</v>
      </c>
      <c r="AR93" s="150">
        <v>0</v>
      </c>
      <c r="AS93" s="5">
        <v>332</v>
      </c>
      <c r="AT93" s="5">
        <v>349</v>
      </c>
      <c r="AU93" s="151">
        <v>293</v>
      </c>
      <c r="AV93" s="9">
        <v>164</v>
      </c>
      <c r="AW93" s="5">
        <v>161</v>
      </c>
      <c r="AX93" s="5">
        <v>943</v>
      </c>
      <c r="AY93" s="5">
        <v>284</v>
      </c>
      <c r="AZ93" s="150">
        <v>299</v>
      </c>
      <c r="BA93" s="5">
        <v>87</v>
      </c>
      <c r="BB93" s="5">
        <v>629</v>
      </c>
      <c r="BC93" s="151">
        <v>111</v>
      </c>
      <c r="BD93" s="9">
        <v>52</v>
      </c>
      <c r="BE93" s="152">
        <v>91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4">
        <v>41</v>
      </c>
      <c r="B94" s="592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6339</v>
      </c>
      <c r="X94" s="259">
        <f>SUMIF(WMS용마재고!$A:$A,"S637-00.75", WMS용마재고!$L:$L)</f>
        <v>4242</v>
      </c>
      <c r="Y94" s="259">
        <f>SUMIF(WMS용마재고!$A:$A,"S637-01.00", WMS용마재고!$L:$L)</f>
        <v>5412</v>
      </c>
      <c r="Z94" s="259">
        <f>SUMIF(WMS용마재고!$A:$A,"S637-01.25", WMS용마재고!$L:$L)</f>
        <v>2025</v>
      </c>
      <c r="AA94" s="259">
        <f>SUMIF(WMS용마재고!$A:$A,"S637-01.50", WMS용마재고!$L:$L)</f>
        <v>3008</v>
      </c>
      <c r="AB94" s="259">
        <f>SUMIF(WMS용마재고!$A:$A,"S637-01.75", WMS용마재고!$L:$L)</f>
        <v>1547</v>
      </c>
      <c r="AC94" s="259">
        <f>SUMIF(WMS용마재고!$A:$A,"S637-02.00", WMS용마재고!$L:$L)</f>
        <v>1131</v>
      </c>
      <c r="AD94" s="259">
        <f>SUMIF(WMS용마재고!$A:$A,"S637-02.25", WMS용마재고!$L:$L)</f>
        <v>1290</v>
      </c>
      <c r="AE94" s="259">
        <f>SUMIF(WMS용마재고!$A:$A,"S637-02.50", WMS용마재고!$L:$L)</f>
        <v>765</v>
      </c>
      <c r="AF94" s="259">
        <f>SUMIF(WMS용마재고!$A:$A,"S637-02.75", WMS용마재고!$L:$L)</f>
        <v>917</v>
      </c>
      <c r="AG94" s="259">
        <f>SUMIF(WMS용마재고!$A:$A,"S637-03.00", WMS용마재고!$L:$L)</f>
        <v>1692</v>
      </c>
      <c r="AH94" s="259">
        <f>SUMIF(WMS용마재고!$A:$A,"S637-03.25", WMS용마재고!$L:$L)</f>
        <v>1704</v>
      </c>
      <c r="AI94" s="259">
        <f>SUMIF(WMS용마재고!$A:$A,"S637-03.50", WMS용마재고!$L:$L)</f>
        <v>1002</v>
      </c>
      <c r="AJ94" s="259">
        <f>SUMIF(WMS용마재고!$A:$A,"S637-03.75", WMS용마재고!$L:$L)</f>
        <v>526</v>
      </c>
      <c r="AK94" s="259">
        <f>SUMIF(WMS용마재고!$A:$A,"S637-04.00", WMS용마재고!$L:$L)</f>
        <v>1810</v>
      </c>
      <c r="AL94" s="259">
        <f>SUMIF(WMS용마재고!$A:$A,"S637-04.25", WMS용마재고!$L:$L)</f>
        <v>1427</v>
      </c>
      <c r="AM94" s="317">
        <f>SUMIF(WMS용마재고!$A:$A,"S637-04.50", WMS용마재고!$L:$L)</f>
        <v>2122</v>
      </c>
      <c r="AN94" s="9">
        <v>0</v>
      </c>
      <c r="AO94" s="5">
        <v>6339</v>
      </c>
      <c r="AP94" s="5">
        <v>4242</v>
      </c>
      <c r="AQ94" s="151">
        <v>5412</v>
      </c>
      <c r="AR94" s="150">
        <v>2025</v>
      </c>
      <c r="AS94" s="5">
        <v>3008</v>
      </c>
      <c r="AT94" s="5">
        <v>1547</v>
      </c>
      <c r="AU94" s="151">
        <v>1131</v>
      </c>
      <c r="AV94" s="9">
        <v>1290</v>
      </c>
      <c r="AW94" s="5">
        <v>765</v>
      </c>
      <c r="AX94" s="5">
        <v>917</v>
      </c>
      <c r="AY94" s="5">
        <v>1692</v>
      </c>
      <c r="AZ94" s="150">
        <v>1704</v>
      </c>
      <c r="BA94" s="5">
        <v>1002</v>
      </c>
      <c r="BB94" s="5">
        <v>526</v>
      </c>
      <c r="BC94" s="151">
        <v>1810</v>
      </c>
      <c r="BD94" s="9">
        <v>1427</v>
      </c>
      <c r="BE94" s="152">
        <v>2122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5"/>
      <c r="B95" s="586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2158</v>
      </c>
      <c r="W95" s="264">
        <f>SUMIF(WMS용마재고!$A:$A,"S637-05.00", WMS용마재고!$L:$L)</f>
        <v>1990</v>
      </c>
      <c r="X95" s="264">
        <f>SUMIF(WMS용마재고!$A:$A,"S637-05.25", WMS용마재고!$L:$L)</f>
        <v>0</v>
      </c>
      <c r="Y95" s="264">
        <f>SUMIF(WMS용마재고!$A:$A,"S637-05.50", WMS용마재고!$L:$L)</f>
        <v>1476</v>
      </c>
      <c r="Z95" s="264">
        <f>SUMIF(WMS용마재고!$A:$A,"S637-05.75", WMS용마재고!$L:$L)</f>
        <v>0</v>
      </c>
      <c r="AA95" s="264">
        <f>SUMIF(WMS용마재고!$A:$A,"S637-06.00", WMS용마재고!$L:$L)</f>
        <v>2058</v>
      </c>
      <c r="AB95" s="264">
        <f>SUMIF(WMS용마재고!$A:$A,"S637-06.50", WMS용마재고!$L:$L)</f>
        <v>2311</v>
      </c>
      <c r="AC95" s="264">
        <f>SUMIF(WMS용마재고!$A:$A,"S637-07.00", WMS용마재고!$L:$L)</f>
        <v>2794</v>
      </c>
      <c r="AD95" s="264">
        <f>SUMIF(WMS용마재고!$A:$A,"S637-07.50", WMS용마재고!$L:$L)</f>
        <v>2814</v>
      </c>
      <c r="AE95" s="264">
        <f>SUMIF(WMS용마재고!$A:$A,"S637-08.00", WMS용마재고!$L:$L)</f>
        <v>2967</v>
      </c>
      <c r="AF95" s="264">
        <f>SUMIF(WMS용마재고!$A:$A,"S637-08.50", WMS용마재고!$L:$L)</f>
        <v>2823</v>
      </c>
      <c r="AG95" s="264">
        <f>SUMIF(WMS용마재고!$A:$A,"S637-09.00", WMS용마재고!$L:$L)</f>
        <v>2935</v>
      </c>
      <c r="AH95" s="264">
        <f>SUMIF(WMS용마재고!$A:$A,"S637-09.50", WMS용마재고!$L:$L)</f>
        <v>1989</v>
      </c>
      <c r="AI95" s="264">
        <f>SUMIF(WMS용마재고!$A:$A,"S637-10.00", WMS용마재고!$L:$L)</f>
        <v>2111</v>
      </c>
      <c r="AJ95" s="264">
        <f>SUMIF(WMS용마재고!$A:$A,"S637-10.50", WMS용마재고!$L:$L)</f>
        <v>726</v>
      </c>
      <c r="AK95" s="264">
        <f>SUMIF(WMS용마재고!$A:$A,"S637-11.00", WMS용마재고!$L:$L)</f>
        <v>1283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2158</v>
      </c>
      <c r="AO95" s="5">
        <v>1990</v>
      </c>
      <c r="AP95" s="5">
        <v>0</v>
      </c>
      <c r="AQ95" s="151">
        <v>1476</v>
      </c>
      <c r="AR95" s="150">
        <v>0</v>
      </c>
      <c r="AS95" s="5">
        <v>2058</v>
      </c>
      <c r="AT95" s="5">
        <v>2311</v>
      </c>
      <c r="AU95" s="151">
        <v>2794</v>
      </c>
      <c r="AV95" s="9">
        <v>2814</v>
      </c>
      <c r="AW95" s="5">
        <v>2967</v>
      </c>
      <c r="AX95" s="5">
        <v>2823</v>
      </c>
      <c r="AY95" s="5">
        <v>2935</v>
      </c>
      <c r="AZ95" s="150">
        <v>1989</v>
      </c>
      <c r="BA95" s="5">
        <v>2111</v>
      </c>
      <c r="BB95" s="5">
        <v>726</v>
      </c>
      <c r="BC95" s="151">
        <v>1283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1">
        <v>44</v>
      </c>
      <c r="B96" s="580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185</v>
      </c>
      <c r="Z96" s="269">
        <f>SUMIF(WMS용마재고!$A:$A,"S659-01.25-0.75", WMS용마재고!$L:$L)</f>
        <v>214</v>
      </c>
      <c r="AA96" s="269">
        <f>SUMIF(WMS용마재고!$A:$A,"S659-01.50-0.75", WMS용마재고!$L:$L)</f>
        <v>238</v>
      </c>
      <c r="AB96" s="269">
        <f>SUMIF(WMS용마재고!$A:$A,"S659-01.75-0.75", WMS용마재고!$L:$L)</f>
        <v>1269</v>
      </c>
      <c r="AC96" s="269">
        <f>SUMIF(WMS용마재고!$A:$A,"S659-02.00-0.75", WMS용마재고!$L:$L)</f>
        <v>141</v>
      </c>
      <c r="AD96" s="269">
        <f>SUMIF(WMS용마재고!$A:$A,"S659-02.25-0.75", WMS용마재고!$L:$L)</f>
        <v>372</v>
      </c>
      <c r="AE96" s="269">
        <f>SUMIF(WMS용마재고!$A:$A,"S659-02.50-0.75", WMS용마재고!$L:$L)</f>
        <v>597</v>
      </c>
      <c r="AF96" s="269">
        <f>SUMIF(WMS용마재고!$A:$A,"S659-02.75-0.75", WMS용마재고!$L:$L)</f>
        <v>306</v>
      </c>
      <c r="AG96" s="269">
        <f>SUMIF(WMS용마재고!$A:$A,"S659-03.00-0.75", WMS용마재고!$L:$L)</f>
        <v>434</v>
      </c>
      <c r="AH96" s="269">
        <f>SUMIF(WMS용마재고!$A:$A,"S659-03.25-0.75", WMS용마재고!$L:$L)</f>
        <v>185</v>
      </c>
      <c r="AI96" s="269">
        <f>SUMIF(WMS용마재고!$A:$A,"S659-03.50-0.75", WMS용마재고!$L:$L)</f>
        <v>1609</v>
      </c>
      <c r="AJ96" s="269">
        <f>SUMIF(WMS용마재고!$A:$A,"S659-03.75-0.75", WMS용마재고!$L:$L)</f>
        <v>469</v>
      </c>
      <c r="AK96" s="269">
        <f>SUMIF(WMS용마재고!$A:$A,"S659-04.00-0.75", WMS용마재고!$L:$L)</f>
        <v>435</v>
      </c>
      <c r="AL96" s="269">
        <f>SUMIF(WMS용마재고!$A:$A,"S659-04.25-0.75", WMS용마재고!$L:$L)</f>
        <v>548</v>
      </c>
      <c r="AM96" s="323">
        <f>SUMIF(WMS용마재고!$A:$A,"S659-04.50-0.75", WMS용마재고!$L:$L)</f>
        <v>933</v>
      </c>
      <c r="AN96" s="9">
        <v>0</v>
      </c>
      <c r="AO96" s="5">
        <v>0</v>
      </c>
      <c r="AP96" s="5">
        <v>0</v>
      </c>
      <c r="AQ96" s="5">
        <v>185</v>
      </c>
      <c r="AR96" s="5">
        <v>214</v>
      </c>
      <c r="AS96" s="5">
        <v>238</v>
      </c>
      <c r="AT96" s="5">
        <v>1269</v>
      </c>
      <c r="AU96" s="5">
        <v>141</v>
      </c>
      <c r="AV96" s="5">
        <v>372</v>
      </c>
      <c r="AW96" s="5">
        <v>597</v>
      </c>
      <c r="AX96" s="5">
        <v>306</v>
      </c>
      <c r="AY96" s="5">
        <v>434</v>
      </c>
      <c r="AZ96" s="5">
        <v>185</v>
      </c>
      <c r="BA96" s="5">
        <v>1609</v>
      </c>
      <c r="BB96" s="5">
        <v>469</v>
      </c>
      <c r="BC96" s="5">
        <v>435</v>
      </c>
      <c r="BD96" s="5">
        <v>548</v>
      </c>
      <c r="BE96" s="6">
        <v>933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2"/>
      <c r="B97" s="577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211</v>
      </c>
      <c r="W97" s="274">
        <f>SUMIF(WMS용마재고!$A:$A,"S659-05.00-0.75", WMS용마재고!$L:$L)</f>
        <v>142</v>
      </c>
      <c r="X97" s="274">
        <f>SUMIF(WMS용마재고!$A:$A,"S659-05.25-0.75", WMS용마재고!$L:$L)</f>
        <v>0</v>
      </c>
      <c r="Y97" s="274">
        <f>SUMIF(WMS용마재고!$A:$A,"S659-05.50-0.75", WMS용마재고!$L:$L)</f>
        <v>132</v>
      </c>
      <c r="Z97" s="274">
        <f>SUMIF(WMS용마재고!$A:$A,"S659-05.75-0.75", WMS용마재고!$L:$L)</f>
        <v>0</v>
      </c>
      <c r="AA97" s="274">
        <f>SUMIF(WMS용마재고!$A:$A,"S659-06.00-0.75", WMS용마재고!$L:$L)</f>
        <v>75</v>
      </c>
      <c r="AB97" s="274">
        <f>SUMIF(WMS용마재고!$A:$A,"S659-06.50-0.75", WMS용마재고!$L:$L)</f>
        <v>125</v>
      </c>
      <c r="AC97" s="274">
        <f>SUMIF(WMS용마재고!$A:$A,"S659-07.00-0.75", WMS용마재고!$L:$L)</f>
        <v>184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211</v>
      </c>
      <c r="AO97" s="5">
        <v>142</v>
      </c>
      <c r="AP97" s="5">
        <v>0</v>
      </c>
      <c r="AQ97" s="5">
        <v>132</v>
      </c>
      <c r="AR97" s="5">
        <v>0</v>
      </c>
      <c r="AS97" s="5">
        <v>75</v>
      </c>
      <c r="AT97" s="5">
        <v>125</v>
      </c>
      <c r="AU97" s="5">
        <v>184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2">
        <v>45</v>
      </c>
      <c r="B98" s="578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471</v>
      </c>
      <c r="Z98" s="269">
        <f>SUMIF(WMS용마재고!$A:$A,"S659-01.25-1.25", WMS용마재고!$L:$L)</f>
        <v>477</v>
      </c>
      <c r="AA98" s="269">
        <f>SUMIF(WMS용마재고!$A:$A,"S659-01.50-1.25", WMS용마재고!$L:$L)</f>
        <v>707</v>
      </c>
      <c r="AB98" s="269">
        <f>SUMIF(WMS용마재고!$A:$A,"S659-01.75-1.25", WMS용마재고!$L:$L)</f>
        <v>918</v>
      </c>
      <c r="AC98" s="269">
        <f>SUMIF(WMS용마재고!$A:$A,"S659-02.00-1.25", WMS용마재고!$L:$L)</f>
        <v>1058</v>
      </c>
      <c r="AD98" s="269">
        <f>SUMIF(WMS용마재고!$A:$A,"S659-02.25-1.25", WMS용마재고!$L:$L)</f>
        <v>1180</v>
      </c>
      <c r="AE98" s="269">
        <f>SUMIF(WMS용마재고!$A:$A,"S659-02.50-1.25", WMS용마재고!$L:$L)</f>
        <v>1573</v>
      </c>
      <c r="AF98" s="269">
        <f>SUMIF(WMS용마재고!$A:$A,"S659-02.75-1.25", WMS용마재고!$L:$L)</f>
        <v>1212</v>
      </c>
      <c r="AG98" s="269">
        <f>SUMIF(WMS용마재고!$A:$A,"S659-03.00-1.25", WMS용마재고!$L:$L)</f>
        <v>1561</v>
      </c>
      <c r="AH98" s="269">
        <f>SUMIF(WMS용마재고!$A:$A,"S659-03.25-1.25", WMS용마재고!$L:$L)</f>
        <v>1210</v>
      </c>
      <c r="AI98" s="269">
        <f>SUMIF(WMS용마재고!$A:$A,"S659-03.50-1.25", WMS용마재고!$L:$L)</f>
        <v>1278</v>
      </c>
      <c r="AJ98" s="269">
        <f>SUMIF(WMS용마재고!$A:$A,"S659-03.75-1.25", WMS용마재고!$L:$L)</f>
        <v>1107</v>
      </c>
      <c r="AK98" s="269">
        <f>SUMIF(WMS용마재고!$A:$A,"S659-04.00-1.25", WMS용마재고!$L:$L)</f>
        <v>935</v>
      </c>
      <c r="AL98" s="269">
        <f>SUMIF(WMS용마재고!$A:$A,"S659-04.25-1.25", WMS용마재고!$L:$L)</f>
        <v>1377</v>
      </c>
      <c r="AM98" s="323">
        <f>SUMIF(WMS용마재고!$A:$A,"S659-04.50-1.25", WMS용마재고!$L:$L)</f>
        <v>781</v>
      </c>
      <c r="AN98" s="9">
        <v>0</v>
      </c>
      <c r="AO98" s="5">
        <v>0</v>
      </c>
      <c r="AP98" s="5">
        <v>0</v>
      </c>
      <c r="AQ98" s="5">
        <v>471</v>
      </c>
      <c r="AR98" s="5">
        <v>477</v>
      </c>
      <c r="AS98" s="5">
        <v>707</v>
      </c>
      <c r="AT98" s="5">
        <v>918</v>
      </c>
      <c r="AU98" s="5">
        <v>1058</v>
      </c>
      <c r="AV98" s="5">
        <v>1180</v>
      </c>
      <c r="AW98" s="5">
        <v>1573</v>
      </c>
      <c r="AX98" s="5">
        <v>1212</v>
      </c>
      <c r="AY98" s="5">
        <v>1561</v>
      </c>
      <c r="AZ98" s="5">
        <v>1210</v>
      </c>
      <c r="BA98" s="5">
        <v>1278</v>
      </c>
      <c r="BB98" s="5">
        <v>1107</v>
      </c>
      <c r="BC98" s="5">
        <v>935</v>
      </c>
      <c r="BD98" s="5">
        <v>1377</v>
      </c>
      <c r="BE98" s="6">
        <v>781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3"/>
      <c r="B99" s="579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1358</v>
      </c>
      <c r="W99" s="274">
        <f>SUMIF(WMS용마재고!$A:$A,"S659-05.00-1.25", WMS용마재고!$L:$L)</f>
        <v>1157</v>
      </c>
      <c r="X99" s="274">
        <f>SUMIF(WMS용마재고!$A:$A,"S659-05.25-1.25", WMS용마재고!$L:$L)</f>
        <v>0</v>
      </c>
      <c r="Y99" s="274">
        <f>SUMIF(WMS용마재고!$A:$A,"S659-05.50-1.25", WMS용마재고!$L:$L)</f>
        <v>415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389</v>
      </c>
      <c r="AB99" s="274">
        <f>SUMIF(WMS용마재고!$A:$A,"S659-06.50-1.25", WMS용마재고!$L:$L)</f>
        <v>471</v>
      </c>
      <c r="AC99" s="274">
        <f>SUMIF(WMS용마재고!$A:$A,"S659-07.00-1.25", WMS용마재고!$L:$L)</f>
        <v>1033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1358</v>
      </c>
      <c r="AO99" s="5">
        <v>1157</v>
      </c>
      <c r="AP99" s="5">
        <v>0</v>
      </c>
      <c r="AQ99" s="5">
        <v>415</v>
      </c>
      <c r="AR99" s="5">
        <v>0</v>
      </c>
      <c r="AS99" s="5">
        <v>389</v>
      </c>
      <c r="AT99" s="5">
        <v>471</v>
      </c>
      <c r="AU99" s="5">
        <v>1033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8">
        <v>46</v>
      </c>
      <c r="B100" s="580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847</v>
      </c>
      <c r="Z100" s="269">
        <f>SUMIF(WMS용마재고!$A:$A,"S659-01.25-1.75", WMS용마재고!$L:$L)</f>
        <v>436</v>
      </c>
      <c r="AA100" s="269">
        <f>SUMIF(WMS용마재고!$A:$A,"S659-01.50-1.75", WMS용마재고!$L:$L)</f>
        <v>631</v>
      </c>
      <c r="AB100" s="269">
        <f>SUMIF(WMS용마재고!$A:$A,"S659-01.75-1.75", WMS용마재고!$L:$L)</f>
        <v>589</v>
      </c>
      <c r="AC100" s="269">
        <f>SUMIF(WMS용마재고!$A:$A,"S659-02.00-1.75", WMS용마재고!$L:$L)</f>
        <v>1332</v>
      </c>
      <c r="AD100" s="269">
        <f>SUMIF(WMS용마재고!$A:$A,"S659-02.25-1.75", WMS용마재고!$L:$L)</f>
        <v>2095</v>
      </c>
      <c r="AE100" s="269">
        <f>SUMIF(WMS용마재고!$A:$A,"S659-02.50-1.75", WMS용마재고!$L:$L)</f>
        <v>1125</v>
      </c>
      <c r="AF100" s="269">
        <f>SUMIF(WMS용마재고!$A:$A,"S659-02.75-1.75", WMS용마재고!$L:$L)</f>
        <v>518</v>
      </c>
      <c r="AG100" s="269">
        <f>SUMIF(WMS용마재고!$A:$A,"S659-03.00-1.75", WMS용마재고!$L:$L)</f>
        <v>2395</v>
      </c>
      <c r="AH100" s="269">
        <f>SUMIF(WMS용마재고!$A:$A,"S659-03.25-1.75", WMS용마재고!$L:$L)</f>
        <v>1505</v>
      </c>
      <c r="AI100" s="269">
        <f>SUMIF(WMS용마재고!$A:$A,"S659-03.50-1.75", WMS용마재고!$L:$L)</f>
        <v>1719</v>
      </c>
      <c r="AJ100" s="269">
        <f>SUMIF(WMS용마재고!$A:$A,"S659-03.75-1.75", WMS용마재고!$L:$L)</f>
        <v>1528</v>
      </c>
      <c r="AK100" s="269">
        <f>SUMIF(WMS용마재고!$A:$A,"S659-04.00-1.75", WMS용마재고!$L:$L)</f>
        <v>941</v>
      </c>
      <c r="AL100" s="269">
        <f>SUMIF(WMS용마재고!$A:$A,"S659-04.25-1.75", WMS용마재고!$L:$L)</f>
        <v>1372</v>
      </c>
      <c r="AM100" s="323">
        <f>SUMIF(WMS용마재고!$A:$A,"S659-04.50-1.75", WMS용마재고!$L:$L)</f>
        <v>1451</v>
      </c>
      <c r="AN100" s="9">
        <v>0</v>
      </c>
      <c r="AO100" s="5">
        <v>0</v>
      </c>
      <c r="AP100" s="5">
        <v>0</v>
      </c>
      <c r="AQ100" s="5">
        <v>847</v>
      </c>
      <c r="AR100" s="5">
        <v>436</v>
      </c>
      <c r="AS100" s="5">
        <v>631</v>
      </c>
      <c r="AT100" s="5">
        <v>589</v>
      </c>
      <c r="AU100" s="5">
        <v>1332</v>
      </c>
      <c r="AV100" s="5">
        <v>2095</v>
      </c>
      <c r="AW100" s="5">
        <v>1125</v>
      </c>
      <c r="AX100" s="5">
        <v>518</v>
      </c>
      <c r="AY100" s="5">
        <v>2395</v>
      </c>
      <c r="AZ100" s="5">
        <v>1505</v>
      </c>
      <c r="BA100" s="5">
        <v>1719</v>
      </c>
      <c r="BB100" s="5">
        <v>1528</v>
      </c>
      <c r="BC100" s="5">
        <v>941</v>
      </c>
      <c r="BD100" s="5">
        <v>1372</v>
      </c>
      <c r="BE100" s="6">
        <v>1451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9"/>
      <c r="B101" s="577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1628</v>
      </c>
      <c r="W101" s="274">
        <f>SUMIF(WMS용마재고!$A:$A,"S659-05.00-1.75", WMS용마재고!$L:$L)</f>
        <v>1745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661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298</v>
      </c>
      <c r="AB101" s="274">
        <f>SUMIF(WMS용마재고!$A:$A,"S659-06.50-1.75", WMS용마재고!$L:$L)</f>
        <v>269</v>
      </c>
      <c r="AC101" s="274">
        <f>SUMIF(WMS용마재고!$A:$A,"S659-07.00-1.75", WMS용마재고!$L:$L)</f>
        <v>587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1628</v>
      </c>
      <c r="AO101" s="5">
        <v>1745</v>
      </c>
      <c r="AP101" s="5">
        <v>0</v>
      </c>
      <c r="AQ101" s="5">
        <v>661</v>
      </c>
      <c r="AR101" s="5">
        <v>0</v>
      </c>
      <c r="AS101" s="5">
        <v>298</v>
      </c>
      <c r="AT101" s="5">
        <v>269</v>
      </c>
      <c r="AU101" s="5">
        <v>587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2">
        <v>47</v>
      </c>
      <c r="B102" s="578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302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131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435</v>
      </c>
      <c r="AK102" s="269">
        <f>SUMIF(WMS용마재고!$A:$A,"S660-04.00-0.75", WMS용마재고!$L:$L)</f>
        <v>379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555</v>
      </c>
      <c r="AN102" s="9">
        <v>0</v>
      </c>
      <c r="AO102" s="5">
        <v>0</v>
      </c>
      <c r="AP102" s="5">
        <v>0</v>
      </c>
      <c r="AQ102" s="5">
        <v>337</v>
      </c>
      <c r="AR102" s="5">
        <v>594</v>
      </c>
      <c r="AS102" s="5">
        <v>504</v>
      </c>
      <c r="AT102" s="5">
        <v>302</v>
      </c>
      <c r="AU102" s="5">
        <v>382</v>
      </c>
      <c r="AV102" s="5">
        <v>329</v>
      </c>
      <c r="AW102" s="5">
        <v>160</v>
      </c>
      <c r="AX102" s="5">
        <v>207</v>
      </c>
      <c r="AY102" s="5">
        <v>576</v>
      </c>
      <c r="AZ102" s="5">
        <v>131</v>
      </c>
      <c r="BA102" s="5">
        <v>447</v>
      </c>
      <c r="BB102" s="5">
        <v>435</v>
      </c>
      <c r="BC102" s="5">
        <v>379</v>
      </c>
      <c r="BD102" s="5">
        <v>308</v>
      </c>
      <c r="BE102" s="6">
        <v>555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3"/>
      <c r="B103" s="579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8">
        <v>48</v>
      </c>
      <c r="B104" s="580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682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1082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940</v>
      </c>
      <c r="AJ104" s="269">
        <f>SUMIF(WMS용마재고!$A:$A,"S660-03.75-1.25", WMS용마재고!$L:$L)</f>
        <v>965</v>
      </c>
      <c r="AK104" s="269">
        <f>SUMIF(WMS용마재고!$A:$A,"S660-04.00-1.25", WMS용마재고!$L:$L)</f>
        <v>936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731</v>
      </c>
      <c r="AS104" s="5">
        <v>634</v>
      </c>
      <c r="AT104" s="5">
        <v>682</v>
      </c>
      <c r="AU104" s="5">
        <v>1268</v>
      </c>
      <c r="AV104" s="5">
        <v>1537</v>
      </c>
      <c r="AW104" s="5">
        <v>940</v>
      </c>
      <c r="AX104" s="5">
        <v>948</v>
      </c>
      <c r="AY104" s="5">
        <v>1082</v>
      </c>
      <c r="AZ104" s="5">
        <v>1113</v>
      </c>
      <c r="BA104" s="5">
        <v>940</v>
      </c>
      <c r="BB104" s="5">
        <v>965</v>
      </c>
      <c r="BC104" s="5">
        <v>936</v>
      </c>
      <c r="BD104" s="5">
        <v>702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9"/>
      <c r="B105" s="577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1169</v>
      </c>
      <c r="AP105" s="5">
        <v>0</v>
      </c>
      <c r="AQ105" s="5">
        <v>229</v>
      </c>
      <c r="AR105" s="5">
        <v>0</v>
      </c>
      <c r="AS105" s="5">
        <v>456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2">
        <v>49</v>
      </c>
      <c r="B106" s="578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979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661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1648</v>
      </c>
      <c r="AJ106" s="269">
        <f>SUMIF(WMS용마재고!$A:$A,"S660-03.75-1.75", WMS용마재고!$L:$L)</f>
        <v>717</v>
      </c>
      <c r="AK106" s="269">
        <f>SUMIF(WMS용마재고!$A:$A,"S660-04.00-1.75", WMS용마재고!$L:$L)</f>
        <v>696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979</v>
      </c>
      <c r="AU106" s="5">
        <v>751</v>
      </c>
      <c r="AV106" s="5">
        <v>661</v>
      </c>
      <c r="AW106" s="5">
        <v>547</v>
      </c>
      <c r="AX106" s="5">
        <v>692</v>
      </c>
      <c r="AY106" s="5">
        <v>1059</v>
      </c>
      <c r="AZ106" s="5">
        <v>675</v>
      </c>
      <c r="BA106" s="5">
        <v>1648</v>
      </c>
      <c r="BB106" s="5">
        <v>717</v>
      </c>
      <c r="BC106" s="5">
        <v>696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3"/>
      <c r="B107" s="575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412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815</v>
      </c>
      <c r="AP107" s="5">
        <v>0</v>
      </c>
      <c r="AQ107" s="5">
        <v>412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8">
        <v>50</v>
      </c>
      <c r="B108" s="570" t="s">
        <v>4110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9"/>
      <c r="B109" s="571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2">
        <v>51</v>
      </c>
      <c r="B110" s="574" t="s">
        <v>4111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3"/>
      <c r="B111" s="575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8">
        <v>52</v>
      </c>
      <c r="B112" s="570" t="s">
        <v>4112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9"/>
      <c r="B113" s="577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2">
        <v>53</v>
      </c>
      <c r="B114" s="578" t="s">
        <v>4113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3"/>
      <c r="B115" s="579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8">
        <v>54</v>
      </c>
      <c r="B116" s="580" t="s">
        <v>4114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9"/>
      <c r="B117" s="577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2">
        <v>55</v>
      </c>
      <c r="B118" s="578" t="s">
        <v>4115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3"/>
      <c r="B119" s="575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8">
        <v>56</v>
      </c>
      <c r="B120" s="570" t="s">
        <v>4116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9"/>
      <c r="B121" s="571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2">
        <v>57</v>
      </c>
      <c r="B122" s="574" t="s">
        <v>4117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3"/>
      <c r="B123" s="575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8">
        <v>58</v>
      </c>
      <c r="B124" s="570" t="s">
        <v>4118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9"/>
      <c r="B125" s="577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2">
        <v>59</v>
      </c>
      <c r="B126" s="578" t="s">
        <v>4119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3"/>
      <c r="B127" s="579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8">
        <v>60</v>
      </c>
      <c r="B128" s="580" t="s">
        <v>4120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9"/>
      <c r="B129" s="577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2">
        <v>61</v>
      </c>
      <c r="B130" s="578" t="s">
        <v>4121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3"/>
      <c r="B131" s="575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8">
        <v>62</v>
      </c>
      <c r="B132" s="570" t="s">
        <v>4122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9"/>
      <c r="B133" s="571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2">
        <v>63</v>
      </c>
      <c r="B134" s="574" t="s">
        <v>4123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3"/>
      <c r="B135" s="575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8">
        <v>64</v>
      </c>
      <c r="B136" s="570" t="s">
        <v>4124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6"/>
      <c r="B137" s="571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3">
        <v>65</v>
      </c>
      <c r="B138" s="624" t="s">
        <v>4170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839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1094</v>
      </c>
      <c r="Z138" s="259">
        <f>SUMIF(WMS용마재고!$A:$A,"S522-01.25-0.75", WMS용마재고!$L:$L)</f>
        <v>1559</v>
      </c>
      <c r="AA138" s="259">
        <f>SUMIF(WMS용마재고!$A:$A,"S522-01.50-0.75", WMS용마재고!$L:$L)</f>
        <v>947</v>
      </c>
      <c r="AB138" s="259">
        <f>SUMIF(WMS용마재고!$A:$A,"S522-01.75-0.75", WMS용마재고!$L:$L)</f>
        <v>1581</v>
      </c>
      <c r="AC138" s="259">
        <f>SUMIF(WMS용마재고!$A:$A,"S522-02.00-0.75", WMS용마재고!$L:$L)</f>
        <v>1350</v>
      </c>
      <c r="AD138" s="259">
        <f>SUMIF(WMS용마재고!$A:$A,"S522-02.25-0.75", WMS용마재고!$L:$L)</f>
        <v>1293</v>
      </c>
      <c r="AE138" s="259">
        <f>SUMIF(WMS용마재고!$A:$A,"S522-02.50-0.75", WMS용마재고!$L:$L)</f>
        <v>1037</v>
      </c>
      <c r="AF138" s="259">
        <f>SUMIF(WMS용마재고!$A:$A,"S522-02.75-0.75", WMS용마재고!$L:$L)</f>
        <v>1591</v>
      </c>
      <c r="AG138" s="259">
        <f>SUMIF(WMS용마재고!$A:$A,"S522-03.00-0.75", WMS용마재고!$L:$L)</f>
        <v>825</v>
      </c>
      <c r="AH138" s="259">
        <f>SUMIF(WMS용마재고!$A:$A,"S522-03.25-0.75", WMS용마재고!$L:$L)</f>
        <v>1046</v>
      </c>
      <c r="AI138" s="259">
        <f>SUMIF(WMS용마재고!$A:$A,"S522-03.50-0.75", WMS용마재고!$L:$L)</f>
        <v>792</v>
      </c>
      <c r="AJ138" s="259">
        <f>SUMIF(WMS용마재고!$A:$A,"S522-03.75-0.75", WMS용마재고!$L:$L)</f>
        <v>451</v>
      </c>
      <c r="AK138" s="259">
        <f>SUMIF(WMS용마재고!$A:$A,"S522-04.00-0.75", WMS용마재고!$L:$L)</f>
        <v>557</v>
      </c>
      <c r="AL138" s="259">
        <f>SUMIF(WMS용마재고!$A:$A,"S522-04.25-0.75", WMS용마재고!$L:$L)</f>
        <v>490</v>
      </c>
      <c r="AM138" s="317">
        <f>SUMIF(WMS용마재고!$A:$A,"S522-04.50-0.75", WMS용마재고!$L:$L)</f>
        <v>1194</v>
      </c>
      <c r="AN138" s="9">
        <v>839</v>
      </c>
      <c r="AO138" s="5">
        <v>2448</v>
      </c>
      <c r="AP138" s="5">
        <v>1843</v>
      </c>
      <c r="AQ138" s="5">
        <v>1094</v>
      </c>
      <c r="AR138" s="5">
        <v>1559</v>
      </c>
      <c r="AS138" s="5">
        <v>947</v>
      </c>
      <c r="AT138" s="5">
        <v>1581</v>
      </c>
      <c r="AU138" s="5">
        <v>1350</v>
      </c>
      <c r="AV138" s="5">
        <v>1293</v>
      </c>
      <c r="AW138" s="5">
        <v>1037</v>
      </c>
      <c r="AX138" s="5">
        <v>1591</v>
      </c>
      <c r="AY138" s="5">
        <v>825</v>
      </c>
      <c r="AZ138" s="5">
        <v>1046</v>
      </c>
      <c r="BA138" s="5">
        <v>792</v>
      </c>
      <c r="BB138" s="5">
        <v>451</v>
      </c>
      <c r="BC138" s="5">
        <v>557</v>
      </c>
      <c r="BD138" s="5">
        <v>490</v>
      </c>
      <c r="BE138" s="6">
        <v>1194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5"/>
      <c r="B139" s="625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751</v>
      </c>
      <c r="W139" s="329">
        <f>SUMIF(WMS용마재고!$A:$A,"S522-05.00-0.75", WMS용마재고!$L:$L)</f>
        <v>535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1074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639</v>
      </c>
      <c r="AB139" s="254">
        <f>SUMIF(WMS용마재고!$A:$A,"S522-06.50-0.75", WMS용마재고!$L:$L)</f>
        <v>2272</v>
      </c>
      <c r="AC139" s="254">
        <f>SUMIF(WMS용마재고!$A:$A,"S522-07.00-0.75", WMS용마재고!$L:$L)</f>
        <v>1279</v>
      </c>
      <c r="AD139" s="254">
        <f>SUMIF(WMS용마재고!$A:$A,"S522-07.50-0.75", WMS용마재고!$L:$L)</f>
        <v>992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751</v>
      </c>
      <c r="AO139" s="5">
        <v>535</v>
      </c>
      <c r="AP139" s="5">
        <v>0</v>
      </c>
      <c r="AQ139" s="5">
        <v>1074</v>
      </c>
      <c r="AR139" s="5">
        <v>0</v>
      </c>
      <c r="AS139" s="5">
        <v>639</v>
      </c>
      <c r="AT139" s="5">
        <v>2272</v>
      </c>
      <c r="AU139" s="5">
        <v>1279</v>
      </c>
      <c r="AV139" s="5">
        <v>992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4">
        <v>66</v>
      </c>
      <c r="B140" s="616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1002</v>
      </c>
      <c r="W140" s="259">
        <f>SUMIF(WMS용마재고!$A:$A,"S522-00.50-1.25", WMS용마재고!$L:$L)</f>
        <v>1147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1049</v>
      </c>
      <c r="Z140" s="259">
        <f>SUMIF(WMS용마재고!$A:$A,"S522-01.25-1.25", WMS용마재고!$L:$L)</f>
        <v>905</v>
      </c>
      <c r="AA140" s="259">
        <f>SUMIF(WMS용마재고!$A:$A,"S522-01.50-1.25", WMS용마재고!$L:$L)</f>
        <v>1104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930</v>
      </c>
      <c r="AD140" s="259">
        <f>SUMIF(WMS용마재고!$A:$A,"S522-02.25-1.25", WMS용마재고!$L:$L)</f>
        <v>1056</v>
      </c>
      <c r="AE140" s="259">
        <f>SUMIF(WMS용마재고!$A:$A,"S522-02.50-1.25", WMS용마재고!$L:$L)</f>
        <v>1168</v>
      </c>
      <c r="AF140" s="259">
        <f>SUMIF(WMS용마재고!$A:$A,"S522-02.75-1.25", WMS용마재고!$L:$L)</f>
        <v>622</v>
      </c>
      <c r="AG140" s="259">
        <f>SUMIF(WMS용마재고!$A:$A,"S522-03.00-1.25", WMS용마재고!$L:$L)</f>
        <v>730</v>
      </c>
      <c r="AH140" s="259">
        <f>SUMIF(WMS용마재고!$A:$A,"S522-03.25-1.25", WMS용마재고!$L:$L)</f>
        <v>1033</v>
      </c>
      <c r="AI140" s="259">
        <f>SUMIF(WMS용마재고!$A:$A,"S522-03.50-1.25", WMS용마재고!$L:$L)</f>
        <v>484</v>
      </c>
      <c r="AJ140" s="259">
        <f>SUMIF(WMS용마재고!$A:$A,"S522-03.75-1.25", WMS용마재고!$L:$L)</f>
        <v>165</v>
      </c>
      <c r="AK140" s="259">
        <f>SUMIF(WMS용마재고!$A:$A,"S522-04.00-1.25", WMS용마재고!$L:$L)</f>
        <v>214</v>
      </c>
      <c r="AL140" s="259">
        <f>SUMIF(WMS용마재고!$A:$A,"S522-04.25-1.25", WMS용마재고!$L:$L)</f>
        <v>1185</v>
      </c>
      <c r="AM140" s="317">
        <f>SUMIF(WMS용마재고!$A:$A,"S522-04.50-1.25", WMS용마재고!$L:$L)</f>
        <v>928</v>
      </c>
      <c r="AN140" s="9">
        <v>1002</v>
      </c>
      <c r="AO140" s="5">
        <v>1147</v>
      </c>
      <c r="AP140" s="5">
        <v>1483</v>
      </c>
      <c r="AQ140" s="5">
        <v>1049</v>
      </c>
      <c r="AR140" s="5">
        <v>905</v>
      </c>
      <c r="AS140" s="5">
        <v>1104</v>
      </c>
      <c r="AT140" s="5">
        <v>586</v>
      </c>
      <c r="AU140" s="5">
        <v>930</v>
      </c>
      <c r="AV140" s="5">
        <v>1056</v>
      </c>
      <c r="AW140" s="5">
        <v>1168</v>
      </c>
      <c r="AX140" s="5">
        <v>622</v>
      </c>
      <c r="AY140" s="5">
        <v>730</v>
      </c>
      <c r="AZ140" s="5">
        <v>1033</v>
      </c>
      <c r="BA140" s="5">
        <v>484</v>
      </c>
      <c r="BB140" s="5">
        <v>165</v>
      </c>
      <c r="BC140" s="5">
        <v>214</v>
      </c>
      <c r="BD140" s="5">
        <v>1185</v>
      </c>
      <c r="BE140" s="6">
        <v>928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5"/>
      <c r="B141" s="617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1705</v>
      </c>
      <c r="W141" s="264">
        <f>SUMIF(WMS용마재고!$A:$A,"S522-05.00-1.25", WMS용마재고!$L:$L)</f>
        <v>842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245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636</v>
      </c>
      <c r="AB141" s="264">
        <f>SUMIF(WMS용마재고!$A:$A,"S522-06.50-1.25", WMS용마재고!$L:$L)</f>
        <v>589</v>
      </c>
      <c r="AC141" s="264">
        <f>SUMIF(WMS용마재고!$A:$A,"S522-07.00-1.25", WMS용마재고!$L:$L)</f>
        <v>430</v>
      </c>
      <c r="AD141" s="264">
        <f>SUMIF(WMS용마재고!$A:$A,"S522-07.50-1.25", WMS용마재고!$L:$L)</f>
        <v>121</v>
      </c>
      <c r="AE141" s="264">
        <f>SUMIF(WMS용마재고!$A:$A,"S522-08.00-1.25", WMS용마재고!$L:$L)</f>
        <v>92</v>
      </c>
      <c r="AF141" s="264">
        <f>SUMIF(WMS용마재고!$A:$A,"S522-08.50-1.25", WMS용마재고!$L:$L)</f>
        <v>56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1705</v>
      </c>
      <c r="AO141" s="5">
        <v>842</v>
      </c>
      <c r="AP141" s="5">
        <v>0</v>
      </c>
      <c r="AQ141" s="5">
        <v>245</v>
      </c>
      <c r="AR141" s="5">
        <v>0</v>
      </c>
      <c r="AS141" s="5">
        <v>636</v>
      </c>
      <c r="AT141" s="5">
        <v>589</v>
      </c>
      <c r="AU141" s="5">
        <v>430</v>
      </c>
      <c r="AV141" s="5">
        <v>121</v>
      </c>
      <c r="AW141" s="5">
        <v>92</v>
      </c>
      <c r="AX141" s="5">
        <v>56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4">
        <v>67</v>
      </c>
      <c r="B142" s="619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66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600</v>
      </c>
      <c r="Z142" s="259">
        <f>SUMIF(WMS용마재고!$A:$A,"S522-01.25-1.75", WMS용마재고!$L:$L)</f>
        <v>884</v>
      </c>
      <c r="AA142" s="259">
        <f>SUMIF(WMS용마재고!$A:$A,"S522-01.50-1.75", WMS용마재고!$L:$L)</f>
        <v>764</v>
      </c>
      <c r="AB142" s="259">
        <f>SUMIF(WMS용마재고!$A:$A,"S522-01.75-1.75", WMS용마재고!$L:$L)</f>
        <v>423</v>
      </c>
      <c r="AC142" s="259">
        <f>SUMIF(WMS용마재고!$A:$A,"S522-02.00-1.75", WMS용마재고!$L:$L)</f>
        <v>1287</v>
      </c>
      <c r="AD142" s="259">
        <f>SUMIF(WMS용마재고!$A:$A,"S522-02.25-1.75", WMS용마재고!$L:$L)</f>
        <v>833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642</v>
      </c>
      <c r="AG142" s="259">
        <f>SUMIF(WMS용마재고!$A:$A,"S522-03.00-1.75", WMS용마재고!$L:$L)</f>
        <v>460</v>
      </c>
      <c r="AH142" s="259">
        <f>SUMIF(WMS용마재고!$A:$A,"S522-03.25-1.75", WMS용마재고!$L:$L)</f>
        <v>500</v>
      </c>
      <c r="AI142" s="259">
        <f>SUMIF(WMS용마재고!$A:$A,"S522-03.50-1.75", WMS용마재고!$L:$L)</f>
        <v>290</v>
      </c>
      <c r="AJ142" s="259">
        <f>SUMIF(WMS용마재고!$A:$A,"S522-03.75-1.75", WMS용마재고!$L:$L)</f>
        <v>587</v>
      </c>
      <c r="AK142" s="259">
        <f>SUMIF(WMS용마재고!$A:$A,"S522-04.00-1.75", WMS용마재고!$L:$L)</f>
        <v>166</v>
      </c>
      <c r="AL142" s="259">
        <f>SUMIF(WMS용마재고!$A:$A,"S522-04.25-1.75", WMS용마재고!$L:$L)</f>
        <v>1187</v>
      </c>
      <c r="AM142" s="317">
        <f>SUMIF(WMS용마재고!$A:$A,"S522-04.50-1.75", WMS용마재고!$L:$L)</f>
        <v>950</v>
      </c>
      <c r="AN142" s="9">
        <v>66</v>
      </c>
      <c r="AO142" s="5">
        <v>607</v>
      </c>
      <c r="AP142" s="5">
        <v>910</v>
      </c>
      <c r="AQ142" s="5">
        <v>600</v>
      </c>
      <c r="AR142" s="5">
        <v>884</v>
      </c>
      <c r="AS142" s="5">
        <v>764</v>
      </c>
      <c r="AT142" s="5">
        <v>423</v>
      </c>
      <c r="AU142" s="5">
        <v>1287</v>
      </c>
      <c r="AV142" s="5">
        <v>833</v>
      </c>
      <c r="AW142" s="5">
        <v>247</v>
      </c>
      <c r="AX142" s="5">
        <v>642</v>
      </c>
      <c r="AY142" s="5">
        <v>460</v>
      </c>
      <c r="AZ142" s="5">
        <v>500</v>
      </c>
      <c r="BA142" s="5">
        <v>290</v>
      </c>
      <c r="BB142" s="5">
        <v>587</v>
      </c>
      <c r="BC142" s="5">
        <v>166</v>
      </c>
      <c r="BD142" s="5">
        <v>1187</v>
      </c>
      <c r="BE142" s="6">
        <v>950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8"/>
      <c r="B143" s="617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403</v>
      </c>
      <c r="W143" s="264">
        <f>SUMIF(WMS용마재고!$A:$A,"S522-05.00-1.75", WMS용마재고!$L:$L)</f>
        <v>78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185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173</v>
      </c>
      <c r="AB143" s="264">
        <f>SUMIF(WMS용마재고!$A:$A,"S522-06.50-1.75", WMS용마재고!$L:$L)</f>
        <v>889</v>
      </c>
      <c r="AC143" s="264">
        <f>SUMIF(WMS용마재고!$A:$A,"S522-07.00-1.75", WMS용마재고!$L:$L)</f>
        <v>59</v>
      </c>
      <c r="AD143" s="264">
        <f>SUMIF(WMS용마재고!$A:$A,"S522-07.50-1.75", WMS용마재고!$L:$L)</f>
        <v>222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132</v>
      </c>
      <c r="AG143" s="264">
        <f>SUMIF(WMS용마재고!$A:$A,"S522-09.00-1.75", WMS용마재고!$L:$L)</f>
        <v>91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403</v>
      </c>
      <c r="AO143" s="5">
        <v>78</v>
      </c>
      <c r="AP143" s="5">
        <v>0</v>
      </c>
      <c r="AQ143" s="5">
        <v>185</v>
      </c>
      <c r="AR143" s="5">
        <v>0</v>
      </c>
      <c r="AS143" s="5">
        <v>173</v>
      </c>
      <c r="AT143" s="5">
        <v>889</v>
      </c>
      <c r="AU143" s="5">
        <v>59</v>
      </c>
      <c r="AV143" s="5">
        <v>222</v>
      </c>
      <c r="AW143" s="5">
        <v>266</v>
      </c>
      <c r="AX143" s="5">
        <v>132</v>
      </c>
      <c r="AY143" s="5">
        <v>91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20">
        <v>68</v>
      </c>
      <c r="B144" s="621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696</v>
      </c>
      <c r="W144" s="269">
        <f>SUMIF(WMS용마재고!$A:$A,"S524-00.50-0.75", WMS용마재고!$L:$L)</f>
        <v>826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1496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1291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1893</v>
      </c>
      <c r="AF144" s="269">
        <f>SUMIF(WMS용마재고!$A:$A,"S524-02.75-0.75", WMS용마재고!$L:$L)</f>
        <v>1266</v>
      </c>
      <c r="AG144" s="269">
        <f>SUMIF(WMS용마재고!$A:$A,"S524-03.00-0.75", WMS용마재고!$L:$L)</f>
        <v>1672</v>
      </c>
      <c r="AH144" s="269">
        <f>SUMIF(WMS용마재고!$A:$A,"S524-03.25-0.75", WMS용마재고!$L:$L)</f>
        <v>1656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696</v>
      </c>
      <c r="AO144" s="5">
        <v>826</v>
      </c>
      <c r="AP144" s="5">
        <v>1112</v>
      </c>
      <c r="AQ144" s="5">
        <v>1496</v>
      </c>
      <c r="AR144" s="5">
        <v>1956</v>
      </c>
      <c r="AS144" s="5">
        <v>1291</v>
      </c>
      <c r="AT144" s="5">
        <v>1250</v>
      </c>
      <c r="AU144" s="5">
        <v>1152</v>
      </c>
      <c r="AV144" s="5">
        <v>862</v>
      </c>
      <c r="AW144" s="5">
        <v>1893</v>
      </c>
      <c r="AX144" s="5">
        <v>1266</v>
      </c>
      <c r="AY144" s="5">
        <v>1672</v>
      </c>
      <c r="AZ144" s="5">
        <v>1656</v>
      </c>
      <c r="BA144" s="5">
        <v>1275</v>
      </c>
      <c r="BB144" s="5">
        <v>724</v>
      </c>
      <c r="BC144" s="5">
        <v>598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2"/>
      <c r="B145" s="622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770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662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770</v>
      </c>
      <c r="AR145" s="5">
        <v>0</v>
      </c>
      <c r="AS145" s="5">
        <v>662</v>
      </c>
      <c r="AT145" s="5">
        <v>1990</v>
      </c>
      <c r="AU145" s="5">
        <v>1335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1">
        <v>69</v>
      </c>
      <c r="B146" s="603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1259</v>
      </c>
      <c r="W146" s="269">
        <f>SUMIF(WMS용마재고!$A:$A,"S524-00.50-1.25", WMS용마재고!$L:$L)</f>
        <v>1266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1540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1202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1795</v>
      </c>
      <c r="AD146" s="269">
        <f>SUMIF(WMS용마재고!$A:$A,"S524-02.25-1.25", WMS용마재고!$L:$L)</f>
        <v>1120</v>
      </c>
      <c r="AE146" s="269">
        <f>SUMIF(WMS용마재고!$A:$A,"S524-02.50-1.25", WMS용마재고!$L:$L)</f>
        <v>1223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794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1666</v>
      </c>
      <c r="AJ146" s="269">
        <f>SUMIF(WMS용마재고!$A:$A,"S524-03.75-1.25", WMS용마재고!$L:$L)</f>
        <v>1504</v>
      </c>
      <c r="AK146" s="269">
        <f>SUMIF(WMS용마재고!$A:$A,"S524-04.00-1.25", WMS용마재고!$L:$L)</f>
        <v>2212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1209</v>
      </c>
      <c r="AN146" s="9">
        <v>1259</v>
      </c>
      <c r="AO146" s="5">
        <v>1266</v>
      </c>
      <c r="AP146" s="5">
        <v>1159</v>
      </c>
      <c r="AQ146" s="5">
        <v>1540</v>
      </c>
      <c r="AR146" s="5">
        <v>1525</v>
      </c>
      <c r="AS146" s="5">
        <v>1202</v>
      </c>
      <c r="AT146" s="5">
        <v>1141</v>
      </c>
      <c r="AU146" s="5">
        <v>1795</v>
      </c>
      <c r="AV146" s="5">
        <v>1120</v>
      </c>
      <c r="AW146" s="5">
        <v>1223</v>
      </c>
      <c r="AX146" s="5">
        <v>1403</v>
      </c>
      <c r="AY146" s="5">
        <v>794</v>
      </c>
      <c r="AZ146" s="5">
        <v>1814</v>
      </c>
      <c r="BA146" s="5">
        <v>1666</v>
      </c>
      <c r="BB146" s="5">
        <v>1504</v>
      </c>
      <c r="BC146" s="5">
        <v>2212</v>
      </c>
      <c r="BD146" s="5">
        <v>1036</v>
      </c>
      <c r="BE146" s="6">
        <v>1209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2"/>
      <c r="B147" s="604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1162</v>
      </c>
      <c r="W147" s="274">
        <f>SUMIF(WMS용마재고!$A:$A,"S524-05.00-1.25", WMS용마재고!$L:$L)</f>
        <v>713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824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982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866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489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1162</v>
      </c>
      <c r="AO147" s="5">
        <v>713</v>
      </c>
      <c r="AP147" s="5">
        <v>0</v>
      </c>
      <c r="AQ147" s="5">
        <v>824</v>
      </c>
      <c r="AR147" s="5">
        <v>0</v>
      </c>
      <c r="AS147" s="5">
        <v>982</v>
      </c>
      <c r="AT147" s="5">
        <v>1776</v>
      </c>
      <c r="AU147" s="5">
        <v>866</v>
      </c>
      <c r="AV147" s="5">
        <v>528</v>
      </c>
      <c r="AW147" s="5">
        <v>183</v>
      </c>
      <c r="AX147" s="5">
        <v>141</v>
      </c>
      <c r="AY147" s="5">
        <v>489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1">
        <v>70</v>
      </c>
      <c r="B148" s="606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1389</v>
      </c>
      <c r="AB148" s="269">
        <f>SUMIF(WMS용마재고!$A:$A,"S524-01.75-1.75", WMS용마재고!$L:$L)</f>
        <v>726</v>
      </c>
      <c r="AC148" s="269">
        <f>SUMIF(WMS용마재고!$A:$A,"S524-02.00-1.75", WMS용마재고!$L:$L)</f>
        <v>1827</v>
      </c>
      <c r="AD148" s="269">
        <f>SUMIF(WMS용마재고!$A:$A,"S524-02.25-1.75", WMS용마재고!$L:$L)</f>
        <v>1198</v>
      </c>
      <c r="AE148" s="269">
        <f>SUMIF(WMS용마재고!$A:$A,"S524-02.50-1.75", WMS용마재고!$L:$L)</f>
        <v>932</v>
      </c>
      <c r="AF148" s="269">
        <f>SUMIF(WMS용마재고!$A:$A,"S524-02.75-1.75", WMS용마재고!$L:$L)</f>
        <v>807</v>
      </c>
      <c r="AG148" s="269">
        <f>SUMIF(WMS용마재고!$A:$A,"S524-03.00-1.75", WMS용마재고!$L:$L)</f>
        <v>754</v>
      </c>
      <c r="AH148" s="269">
        <f>SUMIF(WMS용마재고!$A:$A,"S524-03.25-1.75", WMS용마재고!$L:$L)</f>
        <v>912</v>
      </c>
      <c r="AI148" s="269">
        <f>SUMIF(WMS용마재고!$A:$A,"S524-03.50-1.75", WMS용마재고!$L:$L)</f>
        <v>813</v>
      </c>
      <c r="AJ148" s="269">
        <f>SUMIF(WMS용마재고!$A:$A,"S524-03.75-1.75", WMS용마재고!$L:$L)</f>
        <v>1383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827</v>
      </c>
      <c r="AM148" s="323">
        <f>SUMIF(WMS용마재고!$A:$A,"S524-04.50-1.75", WMS용마재고!$L:$L)</f>
        <v>860</v>
      </c>
      <c r="AN148" s="9">
        <v>516</v>
      </c>
      <c r="AO148" s="5">
        <v>1164</v>
      </c>
      <c r="AP148" s="5">
        <v>1728</v>
      </c>
      <c r="AQ148" s="5">
        <v>997</v>
      </c>
      <c r="AR148" s="5">
        <v>1159</v>
      </c>
      <c r="AS148" s="5">
        <v>1389</v>
      </c>
      <c r="AT148" s="5">
        <v>726</v>
      </c>
      <c r="AU148" s="5">
        <v>1827</v>
      </c>
      <c r="AV148" s="5">
        <v>1198</v>
      </c>
      <c r="AW148" s="5">
        <v>932</v>
      </c>
      <c r="AX148" s="5">
        <v>807</v>
      </c>
      <c r="AY148" s="5">
        <v>754</v>
      </c>
      <c r="AZ148" s="5">
        <v>912</v>
      </c>
      <c r="BA148" s="5">
        <v>813</v>
      </c>
      <c r="BB148" s="5">
        <v>1383</v>
      </c>
      <c r="BC148" s="5">
        <v>1141</v>
      </c>
      <c r="BD148" s="5">
        <v>827</v>
      </c>
      <c r="BE148" s="6">
        <v>860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5"/>
      <c r="B149" s="607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839</v>
      </c>
      <c r="W149" s="274">
        <f>SUMIF(WMS용마재고!$A:$A,"S524-05.00-1.75", WMS용마재고!$L:$L)</f>
        <v>561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935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417</v>
      </c>
      <c r="AB149" s="274">
        <f>SUMIF(WMS용마재고!$A:$A,"S524-06.50-1.75", WMS용마재고!$L:$L)</f>
        <v>1579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206</v>
      </c>
      <c r="AE149" s="274">
        <f>SUMIF(WMS용마재고!$A:$A,"S524-08.00-1.75", WMS용마재고!$L:$L)</f>
        <v>9</v>
      </c>
      <c r="AF149" s="274">
        <f>SUMIF(WMS용마재고!$A:$A,"S524-08.50-1.75", WMS용마재고!$L:$L)</f>
        <v>16</v>
      </c>
      <c r="AG149" s="274">
        <f>SUMIF(WMS용마재고!$A:$A,"S524-09.00-1.75", WMS용마재고!$L:$L)</f>
        <v>80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839</v>
      </c>
      <c r="AO149" s="5">
        <v>561</v>
      </c>
      <c r="AP149" s="5">
        <v>0</v>
      </c>
      <c r="AQ149" s="5">
        <v>935</v>
      </c>
      <c r="AR149" s="5">
        <v>0</v>
      </c>
      <c r="AS149" s="5">
        <v>417</v>
      </c>
      <c r="AT149" s="5">
        <v>1579</v>
      </c>
      <c r="AU149" s="5">
        <v>1729</v>
      </c>
      <c r="AV149" s="5">
        <v>206</v>
      </c>
      <c r="AW149" s="5">
        <v>9</v>
      </c>
      <c r="AX149" s="5">
        <v>16</v>
      </c>
      <c r="AY149" s="5">
        <v>80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8">
        <v>71</v>
      </c>
      <c r="B150" s="609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84</v>
      </c>
      <c r="Z150" s="259">
        <f>SUMIF(WMS용마재고!$A:$A,"S548-01.25", WMS용마재고!$L:$L)</f>
        <v>0</v>
      </c>
      <c r="AA150" s="259">
        <f>SUMIF(WMS용마재고!$A:$A,"S548-01.50", WMS용마재고!$L:$L)</f>
        <v>67</v>
      </c>
      <c r="AB150" s="259">
        <f>SUMIF(WMS용마재고!$A:$A,"S548-01.75", WMS용마재고!$L:$L)</f>
        <v>155</v>
      </c>
      <c r="AC150" s="259">
        <f>SUMIF(WMS용마재고!$A:$A,"S548-02.00", WMS용마재고!$L:$L)</f>
        <v>373</v>
      </c>
      <c r="AD150" s="259">
        <f>SUMIF(WMS용마재고!$A:$A,"S548-02.25", WMS용마재고!$L:$L)</f>
        <v>418</v>
      </c>
      <c r="AE150" s="259">
        <f>SUMIF(WMS용마재고!$A:$A,"S548-02.50", WMS용마재고!$L:$L)</f>
        <v>164</v>
      </c>
      <c r="AF150" s="259">
        <f>SUMIF(WMS용마재고!$A:$A,"S548-02.75", WMS용마재고!$L:$L)</f>
        <v>131</v>
      </c>
      <c r="AG150" s="259">
        <f>SUMIF(WMS용마재고!$A:$A,"S548-03.00", WMS용마재고!$L:$L)</f>
        <v>64</v>
      </c>
      <c r="AH150" s="259">
        <f>SUMIF(WMS용마재고!$A:$A,"S548-03.25", WMS용마재고!$L:$L)</f>
        <v>76</v>
      </c>
      <c r="AI150" s="259">
        <f>SUMIF(WMS용마재고!$A:$A,"S548-03.50", WMS용마재고!$L:$L)</f>
        <v>65</v>
      </c>
      <c r="AJ150" s="259">
        <f>SUMIF(WMS용마재고!$A:$A,"S548-03.75", WMS용마재고!$L:$L)</f>
        <v>82</v>
      </c>
      <c r="AK150" s="259">
        <f>SUMIF(WMS용마재고!$A:$A,"S548-04.00", WMS용마재고!$L:$L)</f>
        <v>30</v>
      </c>
      <c r="AL150" s="259">
        <f>SUMIF(WMS용마재고!$A:$A,"S548-04.25", WMS용마재고!$L:$L)</f>
        <v>149</v>
      </c>
      <c r="AM150" s="317">
        <f>SUMIF(WMS용마재고!$A:$A,"S548-04.50", WMS용마재고!$L:$L)</f>
        <v>151</v>
      </c>
      <c r="AN150" s="9">
        <v>0</v>
      </c>
      <c r="AO150" s="5">
        <v>0</v>
      </c>
      <c r="AP150" s="5">
        <v>0</v>
      </c>
      <c r="AQ150" s="5">
        <v>84</v>
      </c>
      <c r="AR150" s="5">
        <v>0</v>
      </c>
      <c r="AS150" s="5">
        <v>67</v>
      </c>
      <c r="AT150" s="5">
        <v>155</v>
      </c>
      <c r="AU150" s="5">
        <v>373</v>
      </c>
      <c r="AV150" s="5">
        <v>418</v>
      </c>
      <c r="AW150" s="5">
        <v>164</v>
      </c>
      <c r="AX150" s="5">
        <v>131</v>
      </c>
      <c r="AY150" s="5">
        <v>64</v>
      </c>
      <c r="AZ150" s="5">
        <v>76</v>
      </c>
      <c r="BA150" s="5">
        <v>65</v>
      </c>
      <c r="BB150" s="5">
        <v>82</v>
      </c>
      <c r="BC150" s="5">
        <v>30</v>
      </c>
      <c r="BD150" s="5">
        <v>149</v>
      </c>
      <c r="BE150" s="6">
        <v>151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2"/>
      <c r="B151" s="590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472</v>
      </c>
      <c r="W151" s="264">
        <f>SUMIF(WMS용마재고!$A:$A,"S548-05.00", WMS용마재고!$L:$L)</f>
        <v>124</v>
      </c>
      <c r="X151" s="264">
        <f>SUMIF(WMS용마재고!$A:$A,"S548-05.25", WMS용마재고!$L:$L)</f>
        <v>0</v>
      </c>
      <c r="Y151" s="264">
        <f>SUMIF(WMS용마재고!$A:$A,"S548-05.50", WMS용마재고!$L:$L)</f>
        <v>478</v>
      </c>
      <c r="Z151" s="264">
        <f>SUMIF(WMS용마재고!$A:$A,"S548-05.75", WMS용마재고!$L:$L)</f>
        <v>0</v>
      </c>
      <c r="AA151" s="264">
        <f>SUMIF(WMS용마재고!$A:$A,"S548-06.00", WMS용마재고!$L:$L)</f>
        <v>608</v>
      </c>
      <c r="AB151" s="264">
        <f>SUMIF(WMS용마재고!$A:$A,"S548-06.50", WMS용마재고!$L:$L)</f>
        <v>771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26</v>
      </c>
      <c r="AF151" s="264">
        <f>SUMIF(WMS용마재고!$A:$A,"S548-08.50", WMS용마재고!$L:$L)</f>
        <v>2</v>
      </c>
      <c r="AG151" s="264">
        <f>SUMIF(WMS용마재고!$A:$A,"S548-09.00", WMS용마재고!$L:$L)</f>
        <v>44</v>
      </c>
      <c r="AH151" s="264">
        <f>SUMIF(WMS용마재고!$A:$A,"S548-09.50", WMS용마재고!$L:$L)</f>
        <v>57</v>
      </c>
      <c r="AI151" s="264">
        <f>SUMIF(WMS용마재고!$A:$A,"S548-10.00", WMS용마재고!$L:$L)</f>
        <v>54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472</v>
      </c>
      <c r="AO151" s="5">
        <v>124</v>
      </c>
      <c r="AP151" s="5">
        <v>0</v>
      </c>
      <c r="AQ151" s="5">
        <v>478</v>
      </c>
      <c r="AR151" s="5">
        <v>0</v>
      </c>
      <c r="AS151" s="5">
        <v>608</v>
      </c>
      <c r="AT151" s="5">
        <v>771</v>
      </c>
      <c r="AU151" s="5">
        <v>0</v>
      </c>
      <c r="AV151" s="5">
        <v>0</v>
      </c>
      <c r="AW151" s="5">
        <v>26</v>
      </c>
      <c r="AX151" s="5">
        <v>2</v>
      </c>
      <c r="AY151" s="5">
        <v>44</v>
      </c>
      <c r="AZ151" s="5">
        <v>57</v>
      </c>
      <c r="BA151" s="5">
        <v>54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4">
        <v>72</v>
      </c>
      <c r="B152" s="595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69</v>
      </c>
      <c r="Z152" s="259">
        <f>SUMIF(WMS용마재고!$A:$A,"S547-01.25", WMS용마재고!$L:$L)</f>
        <v>162</v>
      </c>
      <c r="AA152" s="259">
        <f>SUMIF(WMS용마재고!$A:$A,"S547-01.50", WMS용마재고!$L:$L)</f>
        <v>484</v>
      </c>
      <c r="AB152" s="259">
        <f>SUMIF(WMS용마재고!$A:$A,"S547-01.75", WMS용마재고!$L:$L)</f>
        <v>85</v>
      </c>
      <c r="AC152" s="259">
        <f>SUMIF(WMS용마재고!$A:$A,"S547-02.00", WMS용마재고!$L:$L)</f>
        <v>216</v>
      </c>
      <c r="AD152" s="259">
        <f>SUMIF(WMS용마재고!$A:$A,"S547-02.25", WMS용마재고!$L:$L)</f>
        <v>274</v>
      </c>
      <c r="AE152" s="259">
        <f>SUMIF(WMS용마재고!$A:$A,"S547-02.50", WMS용마재고!$L:$L)</f>
        <v>72</v>
      </c>
      <c r="AF152" s="259">
        <f>SUMIF(WMS용마재고!$A:$A,"S547-02.75", WMS용마재고!$L:$L)</f>
        <v>171</v>
      </c>
      <c r="AG152" s="259">
        <f>SUMIF(WMS용마재고!$A:$A,"S547-03.00", WMS용마재고!$L:$L)</f>
        <v>299</v>
      </c>
      <c r="AH152" s="259">
        <f>SUMIF(WMS용마재고!$A:$A,"S547-03.25", WMS용마재고!$L:$L)</f>
        <v>74</v>
      </c>
      <c r="AI152" s="259">
        <f>SUMIF(WMS용마재고!$A:$A,"S547-03.50", WMS용마재고!$L:$L)</f>
        <v>59</v>
      </c>
      <c r="AJ152" s="259">
        <f>SUMIF(WMS용마재고!$A:$A,"S547-03.75", WMS용마재고!$L:$L)</f>
        <v>282</v>
      </c>
      <c r="AK152" s="259">
        <f>SUMIF(WMS용마재고!$A:$A,"S547-04.00", WMS용마재고!$L:$L)</f>
        <v>299</v>
      </c>
      <c r="AL152" s="259">
        <f>SUMIF(WMS용마재고!$A:$A,"S547-04.25", WMS용마재고!$L:$L)</f>
        <v>223</v>
      </c>
      <c r="AM152" s="317">
        <f>SUMIF(WMS용마재고!$A:$A,"S547-04.50", WMS용마재고!$L:$L)</f>
        <v>243</v>
      </c>
      <c r="AN152" s="9">
        <v>0</v>
      </c>
      <c r="AO152" s="5">
        <v>0</v>
      </c>
      <c r="AP152" s="5">
        <v>0</v>
      </c>
      <c r="AQ152" s="5">
        <v>69</v>
      </c>
      <c r="AR152" s="5">
        <v>162</v>
      </c>
      <c r="AS152" s="5">
        <v>484</v>
      </c>
      <c r="AT152" s="5">
        <v>85</v>
      </c>
      <c r="AU152" s="5">
        <v>216</v>
      </c>
      <c r="AV152" s="5">
        <v>274</v>
      </c>
      <c r="AW152" s="5">
        <v>72</v>
      </c>
      <c r="AX152" s="5">
        <v>171</v>
      </c>
      <c r="AY152" s="5">
        <v>299</v>
      </c>
      <c r="AZ152" s="5">
        <v>74</v>
      </c>
      <c r="BA152" s="5">
        <v>59</v>
      </c>
      <c r="BB152" s="5">
        <v>282</v>
      </c>
      <c r="BC152" s="5">
        <v>299</v>
      </c>
      <c r="BD152" s="5">
        <v>223</v>
      </c>
      <c r="BE152" s="6">
        <v>243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5"/>
      <c r="B153" s="596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446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312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577</v>
      </c>
      <c r="AC153" s="264">
        <f>SUMIF(WMS용마재고!$A:$A,"S547-07.00", WMS용마재고!$L:$L)</f>
        <v>16</v>
      </c>
      <c r="AD153" s="264">
        <f>SUMIF(WMS용마재고!$A:$A,"S547-07.50", WMS용마재고!$L:$L)</f>
        <v>56</v>
      </c>
      <c r="AE153" s="264">
        <f>SUMIF(WMS용마재고!$A:$A,"S547-08.00", WMS용마재고!$L:$L)</f>
        <v>151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446</v>
      </c>
      <c r="AO153" s="5">
        <v>293</v>
      </c>
      <c r="AP153" s="5">
        <v>0</v>
      </c>
      <c r="AQ153" s="5">
        <v>312</v>
      </c>
      <c r="AR153" s="5">
        <v>0</v>
      </c>
      <c r="AS153" s="5">
        <v>461</v>
      </c>
      <c r="AT153" s="5">
        <v>577</v>
      </c>
      <c r="AU153" s="5">
        <v>16</v>
      </c>
      <c r="AV153" s="5">
        <v>56</v>
      </c>
      <c r="AW153" s="5">
        <v>151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1">
        <v>73</v>
      </c>
      <c r="B154" s="589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1315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946</v>
      </c>
      <c r="Z154" s="259">
        <f>SUMIF(WMS용마재고!$A:$A,"S610-01.25", WMS용마재고!$L:$L)</f>
        <v>1391</v>
      </c>
      <c r="AA154" s="259">
        <f>SUMIF(WMS용마재고!$A:$A,"S610-01.50", WMS용마재고!$L:$L)</f>
        <v>1634</v>
      </c>
      <c r="AB154" s="259">
        <f>SUMIF(WMS용마재고!$A:$A,"S610-01.75", WMS용마재고!$L:$L)</f>
        <v>1254</v>
      </c>
      <c r="AC154" s="259">
        <f>SUMIF(WMS용마재고!$A:$A,"S610-02.00", WMS용마재고!$L:$L)</f>
        <v>3095</v>
      </c>
      <c r="AD154" s="259">
        <f>SUMIF(WMS용마재고!$A:$A,"S610-02.25", WMS용마재고!$L:$L)</f>
        <v>1059</v>
      </c>
      <c r="AE154" s="259">
        <f>SUMIF(WMS용마재고!$A:$A,"S610-02.50", WMS용마재고!$L:$L)</f>
        <v>3663</v>
      </c>
      <c r="AF154" s="259">
        <f>SUMIF(WMS용마재고!$A:$A,"S610-02.75", WMS용마재고!$L:$L)</f>
        <v>902</v>
      </c>
      <c r="AG154" s="259">
        <f>SUMIF(WMS용마재고!$A:$A,"S610-03.00", WMS용마재고!$L:$L)</f>
        <v>1684</v>
      </c>
      <c r="AH154" s="259">
        <f>SUMIF(WMS용마재고!$A:$A,"S610-03.25", WMS용마재고!$L:$L)</f>
        <v>1640</v>
      </c>
      <c r="AI154" s="259">
        <f>SUMIF(WMS용마재고!$A:$A,"S610-03.50", WMS용마재고!$L:$L)</f>
        <v>1875</v>
      </c>
      <c r="AJ154" s="259">
        <f>SUMIF(WMS용마재고!$A:$A,"S610-03.75", WMS용마재고!$L:$L)</f>
        <v>1066</v>
      </c>
      <c r="AK154" s="259">
        <f>SUMIF(WMS용마재고!$A:$A,"S610-04.00", WMS용마재고!$L:$L)</f>
        <v>2126</v>
      </c>
      <c r="AL154" s="259">
        <f>SUMIF(WMS용마재고!$A:$A,"S610-04.25", WMS용마재고!$L:$L)</f>
        <v>1814</v>
      </c>
      <c r="AM154" s="317">
        <f>SUMIF(WMS용마재고!$A:$A,"S610-04.50", WMS용마재고!$L:$L)</f>
        <v>2235</v>
      </c>
      <c r="AN154" s="9">
        <v>1315</v>
      </c>
      <c r="AO154" s="5">
        <v>1874</v>
      </c>
      <c r="AP154" s="5">
        <v>1702</v>
      </c>
      <c r="AQ154" s="5">
        <v>946</v>
      </c>
      <c r="AR154" s="5">
        <v>1391</v>
      </c>
      <c r="AS154" s="5">
        <v>1634</v>
      </c>
      <c r="AT154" s="5">
        <v>1254</v>
      </c>
      <c r="AU154" s="5">
        <v>3095</v>
      </c>
      <c r="AV154" s="5">
        <v>1059</v>
      </c>
      <c r="AW154" s="5">
        <v>3663</v>
      </c>
      <c r="AX154" s="5">
        <v>902</v>
      </c>
      <c r="AY154" s="5">
        <v>1684</v>
      </c>
      <c r="AZ154" s="5">
        <v>1640</v>
      </c>
      <c r="BA154" s="5">
        <v>1875</v>
      </c>
      <c r="BB154" s="5">
        <v>1066</v>
      </c>
      <c r="BC154" s="5">
        <v>2126</v>
      </c>
      <c r="BD154" s="5">
        <v>1814</v>
      </c>
      <c r="BE154" s="6">
        <v>2235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2"/>
      <c r="B155" s="590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1992</v>
      </c>
      <c r="W155" s="264">
        <f>SUMIF(WMS용마재고!$A:$A,"S610-05.00", WMS용마재고!$L:$L)</f>
        <v>1181</v>
      </c>
      <c r="X155" s="264">
        <f>SUMIF(WMS용마재고!$A:$A,"S610-05.25", WMS용마재고!$L:$L)</f>
        <v>1239</v>
      </c>
      <c r="Y155" s="264">
        <f>SUMIF(WMS용마재고!$A:$A,"S610-05.50", WMS용마재고!$L:$L)</f>
        <v>1398</v>
      </c>
      <c r="Z155" s="264">
        <f>SUMIF(WMS용마재고!$A:$A,"S610-05.75", WMS용마재고!$L:$L)</f>
        <v>1467</v>
      </c>
      <c r="AA155" s="264">
        <f>SUMIF(WMS용마재고!$A:$A,"S610-06.00", WMS용마재고!$L:$L)</f>
        <v>1003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1992</v>
      </c>
      <c r="AO155" s="5">
        <v>1181</v>
      </c>
      <c r="AP155" s="5">
        <v>1239</v>
      </c>
      <c r="AQ155" s="5">
        <v>1398</v>
      </c>
      <c r="AR155" s="5">
        <v>1467</v>
      </c>
      <c r="AS155" s="5">
        <v>1003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4">
        <v>74</v>
      </c>
      <c r="B156" s="595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69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288</v>
      </c>
      <c r="AA156" s="259">
        <f>SUMIF(WMS용마재고!$A:$A,"S611-01.50", WMS용마재고!$L:$L)</f>
        <v>279</v>
      </c>
      <c r="AB156" s="259">
        <f>SUMIF(WMS용마재고!$A:$A,"S611-01.75", WMS용마재고!$L:$L)</f>
        <v>65</v>
      </c>
      <c r="AC156" s="259">
        <f>SUMIF(WMS용마재고!$A:$A,"S611-02.00", WMS용마재고!$L:$L)</f>
        <v>1352</v>
      </c>
      <c r="AD156" s="259">
        <f>SUMIF(WMS용마재고!$A:$A,"S611-02.25", WMS용마재고!$L:$L)</f>
        <v>181</v>
      </c>
      <c r="AE156" s="259">
        <f>SUMIF(WMS용마재고!$A:$A,"S611-02.50", WMS용마재고!$L:$L)</f>
        <v>1257</v>
      </c>
      <c r="AF156" s="259">
        <f>SUMIF(WMS용마재고!$A:$A,"S611-02.75", WMS용마재고!$L:$L)</f>
        <v>100</v>
      </c>
      <c r="AG156" s="259">
        <f>SUMIF(WMS용마재고!$A:$A,"S611-03.00", WMS용마재고!$L:$L)</f>
        <v>108</v>
      </c>
      <c r="AH156" s="259">
        <f>SUMIF(WMS용마재고!$A:$A,"S611-03.25", WMS용마재고!$L:$L)</f>
        <v>20</v>
      </c>
      <c r="AI156" s="259">
        <f>SUMIF(WMS용마재고!$A:$A,"S611-03.50", WMS용마재고!$L:$L)</f>
        <v>20</v>
      </c>
      <c r="AJ156" s="259">
        <f>SUMIF(WMS용마재고!$A:$A,"S611-03.75", WMS용마재고!$L:$L)</f>
        <v>30</v>
      </c>
      <c r="AK156" s="259">
        <f>SUMIF(WMS용마재고!$A:$A,"S611-04.00", WMS용마재고!$L:$L)</f>
        <v>76</v>
      </c>
      <c r="AL156" s="259">
        <f>SUMIF(WMS용마재고!$A:$A,"S611-04.25", WMS용마재고!$L:$L)</f>
        <v>382</v>
      </c>
      <c r="AM156" s="317">
        <f>SUMIF(WMS용마재고!$A:$A,"S611-04.50", WMS용마재고!$L:$L)</f>
        <v>423</v>
      </c>
      <c r="AN156" s="9">
        <v>69</v>
      </c>
      <c r="AO156" s="5">
        <v>1272</v>
      </c>
      <c r="AP156" s="5">
        <v>1487</v>
      </c>
      <c r="AQ156" s="5">
        <v>237</v>
      </c>
      <c r="AR156" s="5">
        <v>288</v>
      </c>
      <c r="AS156" s="5">
        <v>279</v>
      </c>
      <c r="AT156" s="5">
        <v>65</v>
      </c>
      <c r="AU156" s="5">
        <v>1352</v>
      </c>
      <c r="AV156" s="5">
        <v>181</v>
      </c>
      <c r="AW156" s="5">
        <v>1257</v>
      </c>
      <c r="AX156" s="5">
        <v>100</v>
      </c>
      <c r="AY156" s="5">
        <v>108</v>
      </c>
      <c r="AZ156" s="5">
        <v>20</v>
      </c>
      <c r="BA156" s="5">
        <v>20</v>
      </c>
      <c r="BB156" s="5">
        <v>30</v>
      </c>
      <c r="BC156" s="5">
        <v>76</v>
      </c>
      <c r="BD156" s="5">
        <v>382</v>
      </c>
      <c r="BE156" s="6">
        <v>423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5"/>
      <c r="B157" s="600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314</v>
      </c>
      <c r="W157" s="264">
        <f>SUMIF(WMS용마재고!$A:$A,"S611-05.00", WMS용마재고!$L:$L)</f>
        <v>55</v>
      </c>
      <c r="X157" s="264">
        <f>SUMIF(WMS용마재고!$A:$A,"S611-05.25", WMS용마재고!$L:$L)</f>
        <v>580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107</v>
      </c>
      <c r="AB157" s="264">
        <f>SUMIF(WMS용마재고!$A:$A,"S611-06.50", WMS용마재고!$L:$L)</f>
        <v>206</v>
      </c>
      <c r="AC157" s="264">
        <f>SUMIF(WMS용마재고!$A:$A,"S611-07.00", WMS용마재고!$L:$L)</f>
        <v>322</v>
      </c>
      <c r="AD157" s="264">
        <f>SUMIF(WMS용마재고!$A:$A,"S611-07.50", WMS용마재고!$L:$L)</f>
        <v>529</v>
      </c>
      <c r="AE157" s="264">
        <f>SUMIF(WMS용마재고!$A:$A,"S611-08.00", WMS용마재고!$L:$L)</f>
        <v>481</v>
      </c>
      <c r="AF157" s="264">
        <f>SUMIF(WMS용마재고!$A:$A,"S611-08.50", WMS용마재고!$L:$L)</f>
        <v>1237</v>
      </c>
      <c r="AG157" s="264">
        <f>SUMIF(WMS용마재고!$A:$A,"S611-09.00", WMS용마재고!$L:$L)</f>
        <v>658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314</v>
      </c>
      <c r="AO157" s="5">
        <v>55</v>
      </c>
      <c r="AP157" s="5">
        <v>580</v>
      </c>
      <c r="AQ157" s="5">
        <v>94</v>
      </c>
      <c r="AR157" s="5">
        <v>1116</v>
      </c>
      <c r="AS157" s="5">
        <v>107</v>
      </c>
      <c r="AT157" s="5">
        <v>206</v>
      </c>
      <c r="AU157" s="5">
        <v>322</v>
      </c>
      <c r="AV157" s="5">
        <v>529</v>
      </c>
      <c r="AW157" s="5">
        <v>481</v>
      </c>
      <c r="AX157" s="5">
        <v>1237</v>
      </c>
      <c r="AY157" s="5">
        <v>658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1">
        <v>75</v>
      </c>
      <c r="B158" s="610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956</v>
      </c>
      <c r="W158" s="259">
        <f>SUMIF(WMS용마재고!$A:$A,"S609-00.50", WMS용마재고!$L:$L)</f>
        <v>2003</v>
      </c>
      <c r="X158" s="259">
        <f>SUMIF(WMS용마재고!$A:$A,"S609-00.75", WMS용마재고!$L:$L)</f>
        <v>1730</v>
      </c>
      <c r="Y158" s="259">
        <f>SUMIF(WMS용마재고!$A:$A,"S609-01.00", WMS용마재고!$L:$L)</f>
        <v>1196</v>
      </c>
      <c r="Z158" s="259">
        <f>SUMIF(WMS용마재고!$A:$A,"S609-01.25", WMS용마재고!$L:$L)</f>
        <v>1100</v>
      </c>
      <c r="AA158" s="259">
        <f>SUMIF(WMS용마재고!$A:$A,"S609-01.50", WMS용마재고!$L:$L)</f>
        <v>1002</v>
      </c>
      <c r="AB158" s="259">
        <f>SUMIF(WMS용마재고!$A:$A,"S609-01.75", WMS용마재고!$L:$L)</f>
        <v>995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3080</v>
      </c>
      <c r="AF158" s="259">
        <f>SUMIF(WMS용마재고!$A:$A,"S609-02.75", WMS용마재고!$L:$L)</f>
        <v>788</v>
      </c>
      <c r="AG158" s="259">
        <f>SUMIF(WMS용마재고!$A:$A,"S609-03.00", WMS용마재고!$L:$L)</f>
        <v>1286</v>
      </c>
      <c r="AH158" s="259">
        <f>SUMIF(WMS용마재고!$A:$A,"S609-03.25", WMS용마재고!$L:$L)</f>
        <v>906</v>
      </c>
      <c r="AI158" s="259">
        <f>SUMIF(WMS용마재고!$A:$A,"S609-03.50", WMS용마재고!$L:$L)</f>
        <v>1348</v>
      </c>
      <c r="AJ158" s="259">
        <f>SUMIF(WMS용마재고!$A:$A,"S609-03.75", WMS용마재고!$L:$L)</f>
        <v>782</v>
      </c>
      <c r="AK158" s="259">
        <f>SUMIF(WMS용마재고!$A:$A,"S609-04.00", WMS용마재고!$L:$L)</f>
        <v>1445</v>
      </c>
      <c r="AL158" s="259">
        <f>SUMIF(WMS용마재고!$A:$A,"S609-04.25", WMS용마재고!$L:$L)</f>
        <v>1465</v>
      </c>
      <c r="AM158" s="317">
        <f>SUMIF(WMS용마재고!$A:$A,"S609-04.50", WMS용마재고!$L:$L)</f>
        <v>1956</v>
      </c>
      <c r="AN158" s="9">
        <v>956</v>
      </c>
      <c r="AO158" s="5">
        <v>2003</v>
      </c>
      <c r="AP158" s="5">
        <v>1730</v>
      </c>
      <c r="AQ158" s="5">
        <v>1196</v>
      </c>
      <c r="AR158" s="5">
        <v>1100</v>
      </c>
      <c r="AS158" s="5">
        <v>1002</v>
      </c>
      <c r="AT158" s="5">
        <v>995</v>
      </c>
      <c r="AU158" s="5">
        <v>2722</v>
      </c>
      <c r="AV158" s="5">
        <v>1041</v>
      </c>
      <c r="AW158" s="5">
        <v>3080</v>
      </c>
      <c r="AX158" s="5">
        <v>788</v>
      </c>
      <c r="AY158" s="5">
        <v>1286</v>
      </c>
      <c r="AZ158" s="5">
        <v>906</v>
      </c>
      <c r="BA158" s="5">
        <v>1348</v>
      </c>
      <c r="BB158" s="5">
        <v>782</v>
      </c>
      <c r="BC158" s="5">
        <v>1445</v>
      </c>
      <c r="BD158" s="5">
        <v>1465</v>
      </c>
      <c r="BE158" s="6">
        <v>1956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2"/>
      <c r="B159" s="611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1675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374</v>
      </c>
      <c r="Z159" s="254">
        <f>SUMIF(WMS용마재고!$A:$A,"S609-05.75", WMS용마재고!$L:$L)</f>
        <v>1481</v>
      </c>
      <c r="AA159" s="254">
        <f>SUMIF(WMS용마재고!$A:$A,"S609-06.00", WMS용마재고!$L:$L)</f>
        <v>698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1675</v>
      </c>
      <c r="AO159" s="5">
        <v>1011</v>
      </c>
      <c r="AP159" s="5">
        <v>1250</v>
      </c>
      <c r="AQ159" s="5">
        <v>374</v>
      </c>
      <c r="AR159" s="5">
        <v>1481</v>
      </c>
      <c r="AS159" s="5">
        <v>698</v>
      </c>
      <c r="AT159" s="5">
        <v>915</v>
      </c>
      <c r="AU159" s="5">
        <v>727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4">
        <v>76</v>
      </c>
      <c r="B160" s="595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4031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2208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2112</v>
      </c>
      <c r="AS160" s="5">
        <v>2229</v>
      </c>
      <c r="AT160" s="5">
        <v>1716</v>
      </c>
      <c r="AU160" s="5">
        <v>4031</v>
      </c>
      <c r="AV160" s="5">
        <v>1952</v>
      </c>
      <c r="AW160" s="5">
        <v>4261</v>
      </c>
      <c r="AX160" s="5">
        <v>2039</v>
      </c>
      <c r="AY160" s="5">
        <v>2314</v>
      </c>
      <c r="AZ160" s="5">
        <v>2208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5"/>
      <c r="B161" s="600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1720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1662</v>
      </c>
      <c r="AF161" s="264">
        <f>SUMIF(WMS용마재고!$A:$A,"S612-08.50", WMS용마재고!$L:$L)</f>
        <v>1738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1395</v>
      </c>
      <c r="AT161" s="5">
        <v>1720</v>
      </c>
      <c r="AU161" s="5">
        <v>1260</v>
      </c>
      <c r="AV161" s="5">
        <v>1590</v>
      </c>
      <c r="AW161" s="5">
        <v>1662</v>
      </c>
      <c r="AX161" s="5">
        <v>1738</v>
      </c>
      <c r="AY161" s="5">
        <v>1564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8">
        <v>77</v>
      </c>
      <c r="B162" s="612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3236</v>
      </c>
      <c r="AM162" s="317">
        <f>SUMIF(WMS용마재고!$A:$A,"S613-04.50", WMS용마재고!$L:$L)</f>
        <v>3437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3236</v>
      </c>
      <c r="BE162" s="6">
        <v>3437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9"/>
      <c r="B163" s="613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2947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2947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4">
        <v>78</v>
      </c>
      <c r="B164" s="574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5"/>
      <c r="B165" s="575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1">
        <v>79</v>
      </c>
      <c r="B166" s="570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76</v>
      </c>
      <c r="X166" s="269">
        <f>SUMIF(WMS용마재고!$A:$A,"s137-00.75", WMS용마재고!$L:$L)</f>
        <v>519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673</v>
      </c>
      <c r="AM166" s="323">
        <f>SUMIF(WMS용마재고!$A:$A,"s137-04.50", WMS용마재고!$L:$L)</f>
        <v>0</v>
      </c>
      <c r="AN166" s="9">
        <v>408</v>
      </c>
      <c r="AO166" s="5">
        <v>76</v>
      </c>
      <c r="AP166" s="5">
        <v>519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673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2"/>
      <c r="B167" s="571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4">
        <v>80</v>
      </c>
      <c r="B168" s="597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53</v>
      </c>
      <c r="AC168" s="259">
        <f>SUMIF(WMS용마재고!$A:$A,"s009-02.00", WMS용마재고!$L:$L)</f>
        <v>33</v>
      </c>
      <c r="AD168" s="259">
        <f>SUMIF(WMS용마재고!$A:$A,"s009-02.25", WMS용마재고!$L:$L)</f>
        <v>7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44</v>
      </c>
      <c r="AH168" s="259">
        <f>SUMIF(WMS용마재고!$A:$A,"s009-03.25", WMS용마재고!$L:$L)</f>
        <v>0</v>
      </c>
      <c r="AI168" s="259">
        <f>SUMIF(WMS용마재고!$A:$A,"s009-03.50", WMS용마재고!$L:$L)</f>
        <v>16</v>
      </c>
      <c r="AJ168" s="259">
        <f>SUMIF(WMS용마재고!$A:$A,"s009-03.75", WMS용마재고!$L:$L)</f>
        <v>12</v>
      </c>
      <c r="AK168" s="259">
        <f>SUMIF(WMS용마재고!$A:$A,"s009-04.00", WMS용마재고!$L:$L)</f>
        <v>39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15</v>
      </c>
      <c r="AT168" s="5">
        <v>53</v>
      </c>
      <c r="AU168" s="5">
        <v>33</v>
      </c>
      <c r="AV168" s="5">
        <v>7</v>
      </c>
      <c r="AW168" s="5">
        <v>9</v>
      </c>
      <c r="AX168" s="5">
        <v>6</v>
      </c>
      <c r="AY168" s="5">
        <v>44</v>
      </c>
      <c r="AZ168" s="5">
        <v>0</v>
      </c>
      <c r="BA168" s="5">
        <v>16</v>
      </c>
      <c r="BB168" s="5">
        <v>12</v>
      </c>
      <c r="BC168" s="5">
        <v>39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599"/>
      <c r="B169" s="598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10</v>
      </c>
      <c r="Y169" s="264">
        <f>SUMIF(WMS용마재고!$A:$A,"s009-05.50", WMS용마재고!$L:$L)</f>
        <v>11</v>
      </c>
      <c r="Z169" s="264">
        <f>SUMIF(WMS용마재고!$A:$A,"s009-05.75", WMS용마재고!$L:$L)</f>
        <v>17</v>
      </c>
      <c r="AA169" s="264">
        <f>SUMIF(WMS용마재고!$A:$A,"s009-06.00", WMS용마재고!$L:$L)</f>
        <v>6</v>
      </c>
      <c r="AB169" s="264">
        <f>SUMIF(WMS용마재고!$A:$A,"s009-06.50", WMS용마재고!$L:$L)</f>
        <v>32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30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97</v>
      </c>
      <c r="AI169" s="264">
        <f>SUMIF(WMS용마재고!$A:$A,"s009-10.00", WMS용마재고!$L:$L)</f>
        <v>39</v>
      </c>
      <c r="AJ169" s="264">
        <f>SUMIF(WMS용마재고!$A:$A,"s009-10.50", WMS용마재고!$L:$L)</f>
        <v>16</v>
      </c>
      <c r="AK169" s="264">
        <f>SUMIF(WMS용마재고!$A:$A,"s009-11.00", WMS용마재고!$L:$L)</f>
        <v>24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10</v>
      </c>
      <c r="AQ169" s="5">
        <v>11</v>
      </c>
      <c r="AR169" s="5">
        <v>17</v>
      </c>
      <c r="AS169" s="5">
        <v>6</v>
      </c>
      <c r="AT169" s="5">
        <v>32</v>
      </c>
      <c r="AU169" s="5">
        <v>4</v>
      </c>
      <c r="AV169" s="5">
        <v>9</v>
      </c>
      <c r="AW169" s="5">
        <v>30</v>
      </c>
      <c r="AX169" s="5">
        <v>7</v>
      </c>
      <c r="AY169" s="5">
        <v>26</v>
      </c>
      <c r="AZ169" s="5">
        <v>97</v>
      </c>
      <c r="BA169" s="5">
        <v>39</v>
      </c>
      <c r="BB169" s="5">
        <v>16</v>
      </c>
      <c r="BC169" s="5">
        <v>24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599"/>
      <c r="B170" s="598"/>
      <c r="C170" s="221" t="s">
        <v>7729</v>
      </c>
      <c r="D170" s="221" t="s">
        <v>7730</v>
      </c>
      <c r="E170" s="221" t="s">
        <v>7731</v>
      </c>
      <c r="F170" s="221" t="s">
        <v>7732</v>
      </c>
      <c r="G170" s="221" t="s">
        <v>7733</v>
      </c>
      <c r="H170" s="221" t="s">
        <v>7734</v>
      </c>
      <c r="I170" s="221" t="s">
        <v>7735</v>
      </c>
      <c r="J170" s="221" t="s">
        <v>7736</v>
      </c>
      <c r="K170" s="221" t="s">
        <v>7737</v>
      </c>
      <c r="L170" s="221" t="s">
        <v>7738</v>
      </c>
      <c r="M170" s="221" t="s">
        <v>7739</v>
      </c>
      <c r="N170" s="221" t="s">
        <v>7740</v>
      </c>
      <c r="O170" s="221" t="s">
        <v>7741</v>
      </c>
      <c r="P170" s="221" t="s">
        <v>7742</v>
      </c>
      <c r="Q170" s="221" t="s">
        <v>7743</v>
      </c>
      <c r="R170" s="221" t="s">
        <v>7744</v>
      </c>
      <c r="S170" s="221" t="s">
        <v>7745</v>
      </c>
      <c r="T170" s="221" t="s">
        <v>7746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80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80</v>
      </c>
      <c r="AY170" s="5">
        <v>22</v>
      </c>
      <c r="AZ170" s="5">
        <v>68</v>
      </c>
      <c r="BA170" s="5">
        <v>4</v>
      </c>
      <c r="BB170" s="5">
        <v>79</v>
      </c>
      <c r="BC170" s="5">
        <v>24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599"/>
      <c r="B171" s="598"/>
      <c r="C171" s="221" t="s">
        <v>7747</v>
      </c>
      <c r="D171" s="221" t="s">
        <v>7748</v>
      </c>
      <c r="E171" s="221" t="s">
        <v>7749</v>
      </c>
      <c r="F171" s="221" t="s">
        <v>7750</v>
      </c>
      <c r="G171" s="221" t="s">
        <v>7751</v>
      </c>
      <c r="H171" s="221" t="s">
        <v>7752</v>
      </c>
      <c r="I171" s="221" t="s">
        <v>7753</v>
      </c>
      <c r="J171" s="221" t="s">
        <v>7754</v>
      </c>
      <c r="K171" s="221" t="s">
        <v>7755</v>
      </c>
      <c r="L171" s="221" t="s">
        <v>7756</v>
      </c>
      <c r="M171" s="221" t="s">
        <v>7757</v>
      </c>
      <c r="N171" s="221" t="s">
        <v>7758</v>
      </c>
      <c r="O171" s="221" t="s">
        <v>7759</v>
      </c>
      <c r="P171" s="221" t="s">
        <v>7760</v>
      </c>
      <c r="Q171" s="221" t="s">
        <v>7761</v>
      </c>
      <c r="R171" s="221" t="s">
        <v>7762</v>
      </c>
      <c r="S171" s="221" t="s">
        <v>7763</v>
      </c>
      <c r="T171" s="221" t="s">
        <v>7764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599"/>
      <c r="B172" s="598"/>
      <c r="C172" s="221" t="s">
        <v>7765</v>
      </c>
      <c r="D172" s="221" t="s">
        <v>7766</v>
      </c>
      <c r="E172" s="221" t="s">
        <v>7767</v>
      </c>
      <c r="F172" s="221" t="s">
        <v>7768</v>
      </c>
      <c r="G172" s="221" t="s">
        <v>7769</v>
      </c>
      <c r="H172" s="221" t="s">
        <v>7770</v>
      </c>
      <c r="I172" s="221" t="s">
        <v>7771</v>
      </c>
      <c r="J172" s="221" t="s">
        <v>7772</v>
      </c>
      <c r="K172" s="221" t="s">
        <v>7773</v>
      </c>
      <c r="L172" s="221" t="s">
        <v>7774</v>
      </c>
      <c r="M172" s="221" t="s">
        <v>7775</v>
      </c>
      <c r="N172" s="221" t="s">
        <v>7776</v>
      </c>
      <c r="O172" s="221" t="s">
        <v>7777</v>
      </c>
      <c r="P172" s="221" t="s">
        <v>7778</v>
      </c>
      <c r="Q172" s="221" t="s">
        <v>7779</v>
      </c>
      <c r="R172" s="221" t="s">
        <v>7780</v>
      </c>
      <c r="S172" s="221" t="s">
        <v>7781</v>
      </c>
      <c r="T172" s="221" t="s">
        <v>7782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130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108</v>
      </c>
      <c r="AQ172" s="5">
        <v>41</v>
      </c>
      <c r="AR172" s="5">
        <v>29</v>
      </c>
      <c r="AS172" s="5">
        <v>122</v>
      </c>
      <c r="AT172" s="5">
        <v>82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130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5"/>
      <c r="B173" s="598"/>
      <c r="C173" s="221" t="s">
        <v>7783</v>
      </c>
      <c r="D173" s="221" t="s">
        <v>7784</v>
      </c>
      <c r="E173" s="221" t="s">
        <v>7785</v>
      </c>
      <c r="F173" s="221" t="s">
        <v>7786</v>
      </c>
      <c r="G173" s="221" t="s">
        <v>7787</v>
      </c>
      <c r="H173" s="221" t="s">
        <v>7788</v>
      </c>
      <c r="I173" s="221" t="s">
        <v>7789</v>
      </c>
      <c r="J173" s="221" t="s">
        <v>7790</v>
      </c>
      <c r="K173" s="221" t="s">
        <v>7791</v>
      </c>
      <c r="L173" s="221" t="s">
        <v>7792</v>
      </c>
      <c r="M173" s="221" t="s">
        <v>7793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1">
        <v>81</v>
      </c>
      <c r="B174" s="570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43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24</v>
      </c>
      <c r="AD174" s="259">
        <f>SUMIF(WMS용마재고!$A:$A,"S010-02.25", WMS용마재고!$L:$L)</f>
        <v>48</v>
      </c>
      <c r="AE174" s="259">
        <f>SUMIF(WMS용마재고!$A:$A,"S010-02.50", WMS용마재고!$L:$L)</f>
        <v>30</v>
      </c>
      <c r="AF174" s="259">
        <f>SUMIF(WMS용마재고!$A:$A,"S010-02.75", WMS용마재고!$L:$L)</f>
        <v>44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23</v>
      </c>
      <c r="AJ174" s="259">
        <f>SUMIF(WMS용마재고!$A:$A,"S010-03.75", WMS용마재고!$L:$L)</f>
        <v>39</v>
      </c>
      <c r="AK174" s="259">
        <f>SUMIF(WMS용마재고!$A:$A,"S010-04.00", WMS용마재고!$L:$L)</f>
        <v>8</v>
      </c>
      <c r="AL174" s="259">
        <f>SUMIF(WMS용마재고!$A:$A,"S010-04.25", WMS용마재고!$L:$L)</f>
        <v>38</v>
      </c>
      <c r="AM174" s="317">
        <f>SUMIF(WMS용마재고!$A:$A,"S010-04.50", WMS용마재고!$L:$L)</f>
        <v>44</v>
      </c>
      <c r="AN174" s="9">
        <v>0</v>
      </c>
      <c r="AO174" s="5">
        <v>0</v>
      </c>
      <c r="AP174" s="5">
        <v>0</v>
      </c>
      <c r="AQ174" s="5">
        <v>48</v>
      </c>
      <c r="AR174" s="5">
        <v>43</v>
      </c>
      <c r="AS174" s="5">
        <v>45</v>
      </c>
      <c r="AT174" s="5">
        <v>45</v>
      </c>
      <c r="AU174" s="5">
        <v>24</v>
      </c>
      <c r="AV174" s="5">
        <v>48</v>
      </c>
      <c r="AW174" s="5">
        <v>30</v>
      </c>
      <c r="AX174" s="5">
        <v>44</v>
      </c>
      <c r="AY174" s="5">
        <v>26</v>
      </c>
      <c r="AZ174" s="5">
        <v>8</v>
      </c>
      <c r="BA174" s="5">
        <v>23</v>
      </c>
      <c r="BB174" s="5">
        <v>39</v>
      </c>
      <c r="BC174" s="5">
        <v>8</v>
      </c>
      <c r="BD174" s="5">
        <v>38</v>
      </c>
      <c r="BE174" s="6">
        <v>44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2"/>
      <c r="B175" s="571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17</v>
      </c>
      <c r="W175" s="254">
        <f>SUMIF(WMS용마재고!$A:$A,"S010-05.00", WMS용마재고!$L:$L)</f>
        <v>30</v>
      </c>
      <c r="X175" s="254">
        <f>SUMIF(WMS용마재고!$A:$A,"S010-05.25", WMS용마재고!$L:$L)</f>
        <v>42</v>
      </c>
      <c r="Y175" s="254">
        <f>SUMIF(WMS용마재고!$A:$A,"S010-05.50", WMS용마재고!$L:$L)</f>
        <v>28</v>
      </c>
      <c r="Z175" s="254">
        <f>SUMIF(WMS용마재고!$A:$A,"S010-05.75", WMS용마재고!$L:$L)</f>
        <v>46</v>
      </c>
      <c r="AA175" s="254">
        <f>SUMIF(WMS용마재고!$A:$A,"S010-06.00", WMS용마재고!$L:$L)</f>
        <v>40</v>
      </c>
      <c r="AB175" s="254">
        <f>SUMIF(WMS용마재고!$A:$A,"S010-06.50", WMS용마재고!$L:$L)</f>
        <v>44</v>
      </c>
      <c r="AC175" s="254">
        <f>SUMIF(WMS용마재고!$A:$A,"S010-07.00", WMS용마재고!$L:$L)</f>
        <v>35</v>
      </c>
      <c r="AD175" s="254">
        <f>SUMIF(WMS용마재고!$A:$A,"S010-07.50", WMS용마재고!$L:$L)</f>
        <v>43</v>
      </c>
      <c r="AE175" s="254">
        <f>SUMIF(WMS용마재고!$A:$A,"S010-08.00", WMS용마재고!$L:$L)</f>
        <v>43</v>
      </c>
      <c r="AF175" s="254">
        <f>SUMIF(WMS용마재고!$A:$A,"S010-08.50", WMS용마재고!$L:$L)</f>
        <v>42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17</v>
      </c>
      <c r="AO175" s="5">
        <v>30</v>
      </c>
      <c r="AP175" s="5">
        <v>42</v>
      </c>
      <c r="AQ175" s="5">
        <v>28</v>
      </c>
      <c r="AR175" s="5">
        <v>46</v>
      </c>
      <c r="AS175" s="5">
        <v>40</v>
      </c>
      <c r="AT175" s="5">
        <v>44</v>
      </c>
      <c r="AU175" s="5">
        <v>35</v>
      </c>
      <c r="AV175" s="5">
        <v>43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4">
        <v>82</v>
      </c>
      <c r="B176" s="574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5"/>
      <c r="B177" s="575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1">
        <v>83</v>
      </c>
      <c r="B178" s="570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7</v>
      </c>
      <c r="AF178" s="269">
        <f>SUMIF(WMS용마재고!$A:$A,"S012-02.75", WMS용마재고!$L:$L)</f>
        <v>20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20</v>
      </c>
      <c r="AY178" s="5">
        <v>0</v>
      </c>
      <c r="AZ178" s="5">
        <v>2</v>
      </c>
      <c r="BA178" s="5">
        <v>2</v>
      </c>
      <c r="BB178" s="5">
        <v>8</v>
      </c>
      <c r="BC178" s="5">
        <v>0</v>
      </c>
      <c r="BD178" s="5">
        <v>17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2"/>
      <c r="B179" s="571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14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32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37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14</v>
      </c>
      <c r="AS179" s="5">
        <v>0</v>
      </c>
      <c r="AT179" s="5">
        <v>0</v>
      </c>
      <c r="AU179" s="5">
        <v>23</v>
      </c>
      <c r="AV179" s="5">
        <v>32</v>
      </c>
      <c r="AW179" s="5">
        <v>72</v>
      </c>
      <c r="AX179" s="5">
        <v>107</v>
      </c>
      <c r="AY179" s="5">
        <v>108</v>
      </c>
      <c r="AZ179" s="5">
        <v>88</v>
      </c>
      <c r="BA179" s="5">
        <v>37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4">
        <v>84</v>
      </c>
      <c r="B180" s="574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4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11</v>
      </c>
      <c r="AL180" s="259">
        <f>SUMIF(WMS용마재고!$A:$A,"S008-04.25", WMS용마재고!$L:$L)</f>
        <v>6</v>
      </c>
      <c r="AM180" s="317">
        <f>SUMIF(WMS용마재고!$A:$A,"S008-04.50", WMS용마재고!$L:$L)</f>
        <v>40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11</v>
      </c>
      <c r="AX180" s="5">
        <v>4</v>
      </c>
      <c r="AY180" s="5">
        <v>0</v>
      </c>
      <c r="AZ180" s="5">
        <v>4</v>
      </c>
      <c r="BA180" s="5">
        <v>0</v>
      </c>
      <c r="BB180" s="5">
        <v>0</v>
      </c>
      <c r="BC180" s="5">
        <v>11</v>
      </c>
      <c r="BD180" s="5">
        <v>6</v>
      </c>
      <c r="BE180" s="6">
        <v>40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5"/>
      <c r="B181" s="575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4</v>
      </c>
      <c r="AS181" s="5">
        <v>0</v>
      </c>
      <c r="AT181" s="5">
        <v>2</v>
      </c>
      <c r="AU181" s="5">
        <v>2</v>
      </c>
      <c r="AV181" s="5">
        <v>88</v>
      </c>
      <c r="AW181" s="5">
        <v>10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1">
        <v>85</v>
      </c>
      <c r="B182" s="570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22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38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32</v>
      </c>
      <c r="AW182" s="5">
        <v>25</v>
      </c>
      <c r="AX182" s="5">
        <v>62</v>
      </c>
      <c r="AY182" s="5">
        <v>22</v>
      </c>
      <c r="AZ182" s="5">
        <v>14</v>
      </c>
      <c r="BA182" s="5">
        <v>34</v>
      </c>
      <c r="BB182" s="5">
        <v>14</v>
      </c>
      <c r="BC182" s="5">
        <v>14</v>
      </c>
      <c r="BD182" s="5">
        <v>6</v>
      </c>
      <c r="BE182" s="6">
        <v>38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2"/>
      <c r="B183" s="571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22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8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15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22</v>
      </c>
      <c r="AR183" s="5">
        <v>54</v>
      </c>
      <c r="AS183" s="5">
        <v>8</v>
      </c>
      <c r="AT183" s="5">
        <v>8</v>
      </c>
      <c r="AU183" s="5">
        <v>5</v>
      </c>
      <c r="AV183" s="5">
        <v>5</v>
      </c>
      <c r="AW183" s="5">
        <v>15</v>
      </c>
      <c r="AX183" s="5">
        <v>20</v>
      </c>
      <c r="AY183" s="5">
        <v>39</v>
      </c>
      <c r="AZ183" s="5">
        <v>62</v>
      </c>
      <c r="BA183" s="5">
        <v>31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4">
        <v>86</v>
      </c>
      <c r="B184" s="574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43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37</v>
      </c>
      <c r="AK184" s="269">
        <f>SUMIF(WMS용마재고!$A:$A,"S017-04.00-1.25180", WMS용마재고!$L:$L)</f>
        <v>2</v>
      </c>
      <c r="AL184" s="269">
        <f>SUMIF(WMS용마재고!$A:$A,"S017-04.25-1.25180", WMS용마재고!$L:$L)</f>
        <v>6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43</v>
      </c>
      <c r="AY184" s="5">
        <v>9</v>
      </c>
      <c r="AZ184" s="5">
        <v>43</v>
      </c>
      <c r="BA184" s="5">
        <v>0</v>
      </c>
      <c r="BB184" s="5">
        <v>37</v>
      </c>
      <c r="BC184" s="5">
        <v>2</v>
      </c>
      <c r="BD184" s="5">
        <v>6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5"/>
      <c r="B185" s="575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10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41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1</v>
      </c>
      <c r="AD185" s="274">
        <f>SUMIF(WMS용마재고!$A:$A,"S017-07.50-1.25180", WMS용마재고!$L:$L)</f>
        <v>36</v>
      </c>
      <c r="AE185" s="274">
        <f>SUMIF(WMS용마재고!$A:$A,"S017-08.00-1.25180", WMS용마재고!$L:$L)</f>
        <v>21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10</v>
      </c>
      <c r="AO185" s="5">
        <v>20</v>
      </c>
      <c r="AP185" s="5">
        <v>47</v>
      </c>
      <c r="AQ185" s="5">
        <v>9</v>
      </c>
      <c r="AR185" s="5">
        <v>41</v>
      </c>
      <c r="AS185" s="5">
        <v>4</v>
      </c>
      <c r="AT185" s="5">
        <v>6</v>
      </c>
      <c r="AU185" s="5">
        <v>1</v>
      </c>
      <c r="AV185" s="5">
        <v>36</v>
      </c>
      <c r="AW185" s="5">
        <v>21</v>
      </c>
      <c r="AX185" s="5">
        <v>42</v>
      </c>
      <c r="AY185" s="5">
        <v>28</v>
      </c>
      <c r="AZ185" s="5">
        <v>75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8">
        <v>87</v>
      </c>
      <c r="B186" s="570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74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24</v>
      </c>
      <c r="AI186" s="269">
        <f>SUMIF(WMS용마재고!$A:$A,"S017-03.50-1.75180", WMS용마재고!$L:$L)</f>
        <v>35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65</v>
      </c>
      <c r="AL186" s="269">
        <f>SUMIF(WMS용마재고!$A:$A,"S017-04.25-1.75180", WMS용마재고!$L:$L)</f>
        <v>52</v>
      </c>
      <c r="AM186" s="323">
        <f>SUMIF(WMS용마재고!$A:$A,"S017-04.50-1.75180", WMS용마재고!$L:$L)</f>
        <v>9</v>
      </c>
      <c r="AN186" s="9">
        <v>62</v>
      </c>
      <c r="AO186" s="5">
        <v>46</v>
      </c>
      <c r="AP186" s="5">
        <v>64</v>
      </c>
      <c r="AQ186" s="5">
        <v>74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24</v>
      </c>
      <c r="BA186" s="5">
        <v>35</v>
      </c>
      <c r="BB186" s="5">
        <v>34</v>
      </c>
      <c r="BC186" s="5">
        <v>65</v>
      </c>
      <c r="BD186" s="5">
        <v>52</v>
      </c>
      <c r="BE186" s="6">
        <v>9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9"/>
      <c r="B187" s="571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35</v>
      </c>
      <c r="W187" s="274">
        <f>SUMIF(WMS용마재고!$A:$A,"S017-05.00-1.75180", WMS용마재고!$L:$L)</f>
        <v>14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20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40</v>
      </c>
      <c r="AH187" s="274">
        <f>SUMIF(WMS용마재고!$A:$A,"S017-09.50-1.75180", WMS용마재고!$L:$L)</f>
        <v>48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35</v>
      </c>
      <c r="AO187" s="5">
        <v>14</v>
      </c>
      <c r="AP187" s="5">
        <v>8</v>
      </c>
      <c r="AQ187" s="5">
        <v>7</v>
      </c>
      <c r="AR187" s="5">
        <v>7</v>
      </c>
      <c r="AS187" s="5">
        <v>20</v>
      </c>
      <c r="AT187" s="5">
        <v>0</v>
      </c>
      <c r="AU187" s="5">
        <v>0</v>
      </c>
      <c r="AV187" s="5">
        <v>4</v>
      </c>
      <c r="AW187" s="5">
        <v>7</v>
      </c>
      <c r="AX187" s="5">
        <v>6</v>
      </c>
      <c r="AY187" s="5">
        <v>40</v>
      </c>
      <c r="AZ187" s="5">
        <v>48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4">
        <v>88</v>
      </c>
      <c r="B188" s="574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41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2</v>
      </c>
      <c r="AM188" s="323">
        <f>SUMIF(WMS용마재고!$A:$A,"S017-04.50-2.25180", WMS용마재고!$L:$L)</f>
        <v>14</v>
      </c>
      <c r="AN188" s="9">
        <v>41</v>
      </c>
      <c r="AO188" s="5">
        <v>50</v>
      </c>
      <c r="AP188" s="5">
        <v>46</v>
      </c>
      <c r="AQ188" s="5">
        <v>41</v>
      </c>
      <c r="AR188" s="5">
        <v>45</v>
      </c>
      <c r="AS188" s="5">
        <v>43</v>
      </c>
      <c r="AT188" s="5">
        <v>80</v>
      </c>
      <c r="AU188" s="5">
        <v>10</v>
      </c>
      <c r="AV188" s="5">
        <v>96</v>
      </c>
      <c r="AW188" s="5">
        <v>29</v>
      </c>
      <c r="AX188" s="5">
        <v>14</v>
      </c>
      <c r="AY188" s="5">
        <v>23</v>
      </c>
      <c r="AZ188" s="5">
        <v>14</v>
      </c>
      <c r="BA188" s="5">
        <v>9</v>
      </c>
      <c r="BB188" s="5">
        <v>3</v>
      </c>
      <c r="BC188" s="5">
        <v>0</v>
      </c>
      <c r="BD188" s="5">
        <v>2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5"/>
      <c r="B189" s="575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10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29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13</v>
      </c>
      <c r="AS189" s="5">
        <v>5</v>
      </c>
      <c r="AT189" s="5">
        <v>0</v>
      </c>
      <c r="AU189" s="5">
        <v>8</v>
      </c>
      <c r="AV189" s="5">
        <v>18</v>
      </c>
      <c r="AW189" s="5">
        <v>2</v>
      </c>
      <c r="AX189" s="5">
        <v>8</v>
      </c>
      <c r="AY189" s="5">
        <v>10</v>
      </c>
      <c r="AZ189" s="5">
        <v>61</v>
      </c>
      <c r="BA189" s="5">
        <v>29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1">
        <v>89</v>
      </c>
      <c r="B190" s="583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42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56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60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26</v>
      </c>
      <c r="AG190" s="269">
        <f>SUMIF(WMS용마재고!$A:$A,"S017-03.00-2.75180", WMS용마재고!$L:$L)</f>
        <v>46</v>
      </c>
      <c r="AH190" s="269">
        <f>SUMIF(WMS용마재고!$A:$A,"S017-03.25-2.75180", WMS용마재고!$L:$L)</f>
        <v>49</v>
      </c>
      <c r="AI190" s="269">
        <f>SUMIF(WMS용마재고!$A:$A,"S017-03.50-2.75180", WMS용마재고!$L:$L)</f>
        <v>25</v>
      </c>
      <c r="AJ190" s="269">
        <f>SUMIF(WMS용마재고!$A:$A,"S017-03.75-2.75180", WMS용마재고!$L:$L)</f>
        <v>27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9</v>
      </c>
      <c r="AN190" s="9">
        <v>39</v>
      </c>
      <c r="AO190" s="5">
        <v>42</v>
      </c>
      <c r="AP190" s="5">
        <v>42</v>
      </c>
      <c r="AQ190" s="5">
        <v>43</v>
      </c>
      <c r="AR190" s="5">
        <v>45</v>
      </c>
      <c r="AS190" s="5">
        <v>56</v>
      </c>
      <c r="AT190" s="5">
        <v>21</v>
      </c>
      <c r="AU190" s="5">
        <v>28</v>
      </c>
      <c r="AV190" s="5">
        <v>60</v>
      </c>
      <c r="AW190" s="5">
        <v>62</v>
      </c>
      <c r="AX190" s="5">
        <v>26</v>
      </c>
      <c r="AY190" s="5">
        <v>46</v>
      </c>
      <c r="AZ190" s="5">
        <v>49</v>
      </c>
      <c r="BA190" s="5">
        <v>25</v>
      </c>
      <c r="BB190" s="5">
        <v>27</v>
      </c>
      <c r="BC190" s="5">
        <v>6</v>
      </c>
      <c r="BD190" s="5">
        <v>9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2"/>
      <c r="B191" s="583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24</v>
      </c>
      <c r="X191" s="274">
        <f>SUMIF(WMS용마재고!$A:$A,"S017-05.25-2.75180", WMS용마재고!$L:$L)</f>
        <v>37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4</v>
      </c>
      <c r="AD191" s="274">
        <f>SUMIF(WMS용마재고!$A:$A,"S017-07.50-2.75180", WMS용마재고!$L:$L)</f>
        <v>5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51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17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24</v>
      </c>
      <c r="AP191" s="5">
        <v>37</v>
      </c>
      <c r="AQ191" s="5">
        <v>3</v>
      </c>
      <c r="AR191" s="5">
        <v>59</v>
      </c>
      <c r="AS191" s="5">
        <v>7</v>
      </c>
      <c r="AT191" s="5">
        <v>5</v>
      </c>
      <c r="AU191" s="5">
        <v>4</v>
      </c>
      <c r="AV191" s="5">
        <v>5</v>
      </c>
      <c r="AW191" s="5">
        <v>7</v>
      </c>
      <c r="AX191" s="5">
        <v>51</v>
      </c>
      <c r="AY191" s="5">
        <v>9</v>
      </c>
      <c r="AZ191" s="5">
        <v>57</v>
      </c>
      <c r="BA191" s="5">
        <v>17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2">
        <v>90</v>
      </c>
      <c r="B192" s="584" t="s">
        <v>4338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3"/>
      <c r="B193" s="584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1">
        <v>91</v>
      </c>
      <c r="B194" s="583" t="s">
        <v>4339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2"/>
      <c r="B195" s="583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36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36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2">
        <v>92</v>
      </c>
      <c r="B196" s="584" t="s">
        <v>4340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3"/>
      <c r="B197" s="584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22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48</v>
      </c>
      <c r="AT197" s="5">
        <v>22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1">
        <v>93</v>
      </c>
      <c r="B198" s="583" t="s">
        <v>4341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2"/>
      <c r="B199" s="583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1">
        <v>94</v>
      </c>
      <c r="B200" s="584" t="s">
        <v>4342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2"/>
      <c r="B201" s="584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1">
        <v>95</v>
      </c>
      <c r="B202" s="583" t="s">
        <v>4331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2"/>
      <c r="B203" s="583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2">
        <v>96</v>
      </c>
      <c r="B204" s="584" t="s">
        <v>4299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42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42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3"/>
      <c r="B205" s="584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1">
        <v>97</v>
      </c>
      <c r="B206" s="583" t="s">
        <v>4307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2"/>
      <c r="B207" s="583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2">
        <v>98</v>
      </c>
      <c r="B208" s="584" t="s">
        <v>4315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3"/>
      <c r="B209" s="584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1">
        <v>99</v>
      </c>
      <c r="B210" s="583" t="s">
        <v>4323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2"/>
      <c r="B211" s="583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2">
        <v>100</v>
      </c>
      <c r="B212" s="584" t="s">
        <v>4332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3"/>
      <c r="B213" s="584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1">
        <v>101</v>
      </c>
      <c r="B214" s="583" t="s">
        <v>4300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2"/>
      <c r="B215" s="583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2">
        <v>102</v>
      </c>
      <c r="B216" s="584" t="s">
        <v>4308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3"/>
      <c r="B217" s="584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1">
        <v>103</v>
      </c>
      <c r="B218" s="583" t="s">
        <v>4316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2"/>
      <c r="B219" s="583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2">
        <v>104</v>
      </c>
      <c r="B220" s="584" t="s">
        <v>4324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3"/>
      <c r="B221" s="584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1">
        <v>105</v>
      </c>
      <c r="B222" s="583" t="s">
        <v>4333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2"/>
      <c r="B223" s="583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2">
        <v>106</v>
      </c>
      <c r="B224" s="584" t="s">
        <v>4301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3"/>
      <c r="B225" s="584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1">
        <v>107</v>
      </c>
      <c r="B226" s="583" t="s">
        <v>4309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2"/>
      <c r="B227" s="583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2">
        <v>108</v>
      </c>
      <c r="B228" s="584" t="s">
        <v>4317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3"/>
      <c r="B229" s="584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1">
        <v>109</v>
      </c>
      <c r="B230" s="583" t="s">
        <v>4325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2"/>
      <c r="B231" s="583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2">
        <v>110</v>
      </c>
      <c r="B232" s="584" t="s">
        <v>4334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3"/>
      <c r="B233" s="584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1">
        <v>111</v>
      </c>
      <c r="B234" s="583" t="s">
        <v>4302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2"/>
      <c r="B235" s="583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2">
        <v>112</v>
      </c>
      <c r="B236" s="584" t="s">
        <v>4310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3"/>
      <c r="B237" s="584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1">
        <v>113</v>
      </c>
      <c r="B238" s="583" t="s">
        <v>4318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2"/>
      <c r="B239" s="583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2">
        <v>114</v>
      </c>
      <c r="B240" s="584" t="s">
        <v>4326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3"/>
      <c r="B241" s="584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1">
        <v>115</v>
      </c>
      <c r="B242" s="583" t="s">
        <v>4335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2"/>
      <c r="B243" s="583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2">
        <v>116</v>
      </c>
      <c r="B244" s="584" t="s">
        <v>4303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3"/>
      <c r="B245" s="584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1">
        <v>117</v>
      </c>
      <c r="B246" s="583" t="s">
        <v>4311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2"/>
      <c r="B247" s="583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2">
        <v>118</v>
      </c>
      <c r="B248" s="584" t="s">
        <v>4319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3"/>
      <c r="B249" s="584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1">
        <v>119</v>
      </c>
      <c r="B250" s="583" t="s">
        <v>4327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2"/>
      <c r="B251" s="583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2">
        <v>120</v>
      </c>
      <c r="B252" s="584" t="s">
        <v>4336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3"/>
      <c r="B253" s="584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1">
        <v>121</v>
      </c>
      <c r="B254" s="583" t="s">
        <v>4304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2"/>
      <c r="B255" s="583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2">
        <v>122</v>
      </c>
      <c r="B256" s="584" t="s">
        <v>4312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3"/>
      <c r="B257" s="584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1">
        <v>123</v>
      </c>
      <c r="B258" s="583" t="s">
        <v>4320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2"/>
      <c r="B259" s="583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2">
        <v>124</v>
      </c>
      <c r="B260" s="584" t="s">
        <v>4328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3"/>
      <c r="B261" s="584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1">
        <v>125</v>
      </c>
      <c r="B262" s="583" t="s">
        <v>4337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2"/>
      <c r="B263" s="583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2">
        <v>126</v>
      </c>
      <c r="B264" s="584" t="s">
        <v>4305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44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3"/>
      <c r="B265" s="584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38</v>
      </c>
      <c r="AQ265" s="5">
        <v>47</v>
      </c>
      <c r="AR265" s="5">
        <v>48</v>
      </c>
      <c r="AS265" s="5">
        <v>45</v>
      </c>
      <c r="AT265" s="5">
        <v>38</v>
      </c>
      <c r="AU265" s="5">
        <v>46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1">
        <v>127</v>
      </c>
      <c r="B266" s="583" t="s">
        <v>4313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47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41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2"/>
      <c r="B267" s="583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20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20</v>
      </c>
      <c r="AR267" s="5">
        <v>50</v>
      </c>
      <c r="AS267" s="5">
        <v>29</v>
      </c>
      <c r="AT267" s="5">
        <v>31</v>
      </c>
      <c r="AU267" s="5">
        <v>47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2">
        <v>128</v>
      </c>
      <c r="B268" s="584" t="s">
        <v>4321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3"/>
      <c r="B269" s="584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24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45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1">
        <v>129</v>
      </c>
      <c r="B270" s="583" t="s">
        <v>4329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2"/>
      <c r="B271" s="583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13</v>
      </c>
      <c r="AR271" s="5">
        <v>25</v>
      </c>
      <c r="AS271" s="5">
        <v>38</v>
      </c>
      <c r="AT271" s="5">
        <v>39</v>
      </c>
      <c r="AU271" s="5">
        <v>47</v>
      </c>
      <c r="AV271" s="5">
        <v>77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4">
        <v>130</v>
      </c>
      <c r="B272" s="574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57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30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71</v>
      </c>
      <c r="AF272" s="259">
        <f>SUMIF(WMS용마재고!$A:$A,"S201-02.75", WMS용마재고!$L:$L)</f>
        <v>83</v>
      </c>
      <c r="AG272" s="259">
        <f>SUMIF(WMS용마재고!$A:$A,"S201-03.00", WMS용마재고!$L:$L)</f>
        <v>38</v>
      </c>
      <c r="AH272" s="259">
        <f>SUMIF(WMS용마재고!$A:$A,"S201-03.25", WMS용마재고!$L:$L)</f>
        <v>33</v>
      </c>
      <c r="AI272" s="259">
        <f>SUMIF(WMS용마재고!$A:$A,"S201-03.50", WMS용마재고!$L:$L)</f>
        <v>110</v>
      </c>
      <c r="AJ272" s="259">
        <f>SUMIF(WMS용마재고!$A:$A,"S201-03.75", WMS용마재고!$L:$L)</f>
        <v>149</v>
      </c>
      <c r="AK272" s="259">
        <f>SUMIF(WMS용마재고!$A:$A,"S201-04.00", WMS용마재고!$L:$L)</f>
        <v>137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57</v>
      </c>
      <c r="AO272" s="5">
        <v>97</v>
      </c>
      <c r="AP272" s="5">
        <v>0</v>
      </c>
      <c r="AQ272" s="5">
        <v>30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71</v>
      </c>
      <c r="AX272" s="5">
        <v>83</v>
      </c>
      <c r="AY272" s="5">
        <v>38</v>
      </c>
      <c r="AZ272" s="5">
        <v>33</v>
      </c>
      <c r="BA272" s="5">
        <v>110</v>
      </c>
      <c r="BB272" s="5">
        <v>149</v>
      </c>
      <c r="BC272" s="5">
        <v>137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5"/>
      <c r="B273" s="575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1">
        <v>131</v>
      </c>
      <c r="B274" s="570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77</v>
      </c>
      <c r="AE274" s="259">
        <f>SUMIF(WMS용마재고!$A:$A,"S202-02.50", WMS용마재고!$L:$L)</f>
        <v>133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27</v>
      </c>
      <c r="AL274" s="259">
        <f>SUMIF(WMS용마재고!$A:$A,"S202-04.25", WMS용마재고!$L:$L)</f>
        <v>62</v>
      </c>
      <c r="AM274" s="317">
        <f>SUMIF(WMS용마재고!$A:$A,"S202-04.50", WMS용마재고!$L:$L)</f>
        <v>40</v>
      </c>
      <c r="AN274" s="9">
        <v>148</v>
      </c>
      <c r="AO274" s="5">
        <v>33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77</v>
      </c>
      <c r="AW274" s="5">
        <v>133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27</v>
      </c>
      <c r="BD274" s="5">
        <v>62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2"/>
      <c r="B275" s="571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79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79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4">
        <v>132</v>
      </c>
      <c r="B276" s="574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70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61</v>
      </c>
      <c r="AM276" s="317">
        <f>SUMIF(WMS용마재고!$A:$A,"S207-04.50", WMS용마재고!$L:$L)</f>
        <v>95</v>
      </c>
      <c r="AN276" s="9">
        <v>70</v>
      </c>
      <c r="AO276" s="5">
        <v>47</v>
      </c>
      <c r="AP276" s="5">
        <v>109</v>
      </c>
      <c r="AQ276" s="5">
        <v>55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37</v>
      </c>
      <c r="AX276" s="5">
        <v>0</v>
      </c>
      <c r="AY276" s="5">
        <v>107</v>
      </c>
      <c r="AZ276" s="5">
        <v>26</v>
      </c>
      <c r="BA276" s="5">
        <v>33</v>
      </c>
      <c r="BB276" s="5">
        <v>72</v>
      </c>
      <c r="BC276" s="5">
        <v>110</v>
      </c>
      <c r="BD276" s="5">
        <v>61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5"/>
      <c r="B277" s="575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11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110</v>
      </c>
      <c r="AP277" s="5">
        <v>157</v>
      </c>
      <c r="AQ277" s="5">
        <v>11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1">
        <v>133</v>
      </c>
      <c r="B278" s="580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40</v>
      </c>
      <c r="W278" s="259">
        <f>SUMIF(WMS용마재고!$A:$A,"S208-00.50", WMS용마재고!$L:$L)</f>
        <v>29</v>
      </c>
      <c r="X278" s="259">
        <f>SUMIF(WMS용마재고!$A:$A,"S208-00.75", WMS용마재고!$L:$L)</f>
        <v>32</v>
      </c>
      <c r="Y278" s="259">
        <f>SUMIF(WMS용마재고!$A:$A,"S208-01.00", WMS용마재고!$L:$L)</f>
        <v>108</v>
      </c>
      <c r="Z278" s="259">
        <f>SUMIF(WMS용마재고!$A:$A,"S208-01.25", WMS용마재고!$L:$L)</f>
        <v>86</v>
      </c>
      <c r="AA278" s="259">
        <f>SUMIF(WMS용마재고!$A:$A,"S208-01.50", WMS용마재고!$L:$L)</f>
        <v>27</v>
      </c>
      <c r="AB278" s="259">
        <f>SUMIF(WMS용마재고!$A:$A,"S208-01.75", WMS용마재고!$L:$L)</f>
        <v>32</v>
      </c>
      <c r="AC278" s="259">
        <f>SUMIF(WMS용마재고!$A:$A,"S208-02.00", WMS용마재고!$L:$L)</f>
        <v>90</v>
      </c>
      <c r="AD278" s="259">
        <f>SUMIF(WMS용마재고!$A:$A,"S208-02.25", WMS용마재고!$L:$L)</f>
        <v>69</v>
      </c>
      <c r="AE278" s="259">
        <f>SUMIF(WMS용마재고!$A:$A,"S208-02.50", WMS용마재고!$L:$L)</f>
        <v>68</v>
      </c>
      <c r="AF278" s="259">
        <f>SUMIF(WMS용마재고!$A:$A,"S208-02.75", WMS용마재고!$L:$L)</f>
        <v>0</v>
      </c>
      <c r="AG278" s="259">
        <f>SUMIF(WMS용마재고!$A:$A,"S208-03.00", WMS용마재고!$L:$L)</f>
        <v>22</v>
      </c>
      <c r="AH278" s="259">
        <f>SUMIF(WMS용마재고!$A:$A,"S208-03.25", WMS용마재고!$L:$L)</f>
        <v>47</v>
      </c>
      <c r="AI278" s="259">
        <f>SUMIF(WMS용마재고!$A:$A,"S208-03.50", WMS용마재고!$L:$L)</f>
        <v>47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79</v>
      </c>
      <c r="AM278" s="317">
        <f>SUMIF(WMS용마재고!$A:$A,"S208-04.50", WMS용마재고!$L:$L)</f>
        <v>134</v>
      </c>
      <c r="AN278" s="9">
        <v>40</v>
      </c>
      <c r="AO278" s="5">
        <v>29</v>
      </c>
      <c r="AP278" s="5">
        <v>32</v>
      </c>
      <c r="AQ278" s="5">
        <v>108</v>
      </c>
      <c r="AR278" s="5">
        <v>86</v>
      </c>
      <c r="AS278" s="5">
        <v>27</v>
      </c>
      <c r="AT278" s="5">
        <v>32</v>
      </c>
      <c r="AU278" s="5">
        <v>90</v>
      </c>
      <c r="AV278" s="5">
        <v>69</v>
      </c>
      <c r="AW278" s="5">
        <v>68</v>
      </c>
      <c r="AX278" s="5">
        <v>0</v>
      </c>
      <c r="AY278" s="5">
        <v>22</v>
      </c>
      <c r="AZ278" s="5">
        <v>47</v>
      </c>
      <c r="BA278" s="5">
        <v>47</v>
      </c>
      <c r="BB278" s="5">
        <v>34</v>
      </c>
      <c r="BC278" s="5">
        <v>21</v>
      </c>
      <c r="BD278" s="5">
        <v>79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2"/>
      <c r="B279" s="577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138</v>
      </c>
      <c r="X279" s="264">
        <f>SUMIF(WMS용마재고!$A:$A,"S208-05.25", WMS용마재고!$L:$L)</f>
        <v>24</v>
      </c>
      <c r="Y279" s="264">
        <f>SUMIF(WMS용마재고!$A:$A,"S208-05.50", WMS용마재고!$L:$L)</f>
        <v>41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42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138</v>
      </c>
      <c r="AP279" s="5">
        <v>24</v>
      </c>
      <c r="AQ279" s="5">
        <v>41</v>
      </c>
      <c r="AR279" s="5">
        <v>79</v>
      </c>
      <c r="AS279" s="5">
        <v>87</v>
      </c>
      <c r="AT279" s="5">
        <v>128</v>
      </c>
      <c r="AU279" s="5">
        <v>57</v>
      </c>
      <c r="AV279" s="5">
        <v>42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4">
        <v>134</v>
      </c>
      <c r="B280" s="592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44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110</v>
      </c>
      <c r="AB280" s="259">
        <f>SUMIF(WMS용마재고!$A:$A,"S210-01.75", WMS용마재고!$L:$L)</f>
        <v>13</v>
      </c>
      <c r="AC280" s="259">
        <f>SUMIF(WMS용마재고!$A:$A,"S210-02.00", WMS용마재고!$L:$L)</f>
        <v>59</v>
      </c>
      <c r="AD280" s="259">
        <f>SUMIF(WMS용마재고!$A:$A,"S210-02.25", WMS용마재고!$L:$L)</f>
        <v>86</v>
      </c>
      <c r="AE280" s="259">
        <f>SUMIF(WMS용마재고!$A:$A,"S210-02.50", WMS용마재고!$L:$L)</f>
        <v>143</v>
      </c>
      <c r="AF280" s="259">
        <f>SUMIF(WMS용마재고!$A:$A,"S210-02.75", WMS용마재고!$L:$L)</f>
        <v>42</v>
      </c>
      <c r="AG280" s="259">
        <f>SUMIF(WMS용마재고!$A:$A,"S210-03.00", WMS용마재고!$L:$L)</f>
        <v>45</v>
      </c>
      <c r="AH280" s="259">
        <f>SUMIF(WMS용마재고!$A:$A,"S210-03.25", WMS용마재고!$L:$L)</f>
        <v>33</v>
      </c>
      <c r="AI280" s="259">
        <f>SUMIF(WMS용마재고!$A:$A,"S210-03.50", WMS용마재고!$L:$L)</f>
        <v>69</v>
      </c>
      <c r="AJ280" s="259">
        <f>SUMIF(WMS용마재고!$A:$A,"S210-03.75", WMS용마재고!$L:$L)</f>
        <v>51</v>
      </c>
      <c r="AK280" s="259">
        <f>SUMIF(WMS용마재고!$A:$A,"S210-04.00", WMS용마재고!$L:$L)</f>
        <v>35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44</v>
      </c>
      <c r="AO280" s="5">
        <v>108</v>
      </c>
      <c r="AP280" s="5">
        <v>19</v>
      </c>
      <c r="AQ280" s="5">
        <v>47</v>
      </c>
      <c r="AR280" s="5">
        <v>67</v>
      </c>
      <c r="AS280" s="5">
        <v>110</v>
      </c>
      <c r="AT280" s="5">
        <v>13</v>
      </c>
      <c r="AU280" s="5">
        <v>59</v>
      </c>
      <c r="AV280" s="5">
        <v>86</v>
      </c>
      <c r="AW280" s="5">
        <v>143</v>
      </c>
      <c r="AX280" s="5">
        <v>42</v>
      </c>
      <c r="AY280" s="5">
        <v>45</v>
      </c>
      <c r="AZ280" s="5">
        <v>33</v>
      </c>
      <c r="BA280" s="5">
        <v>69</v>
      </c>
      <c r="BB280" s="5">
        <v>51</v>
      </c>
      <c r="BC280" s="5">
        <v>35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5"/>
      <c r="B281" s="586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51</v>
      </c>
      <c r="X281" s="264">
        <f>SUMIF(WMS용마재고!$A:$A,"S210-05.25", WMS용마재고!$L:$L)</f>
        <v>119</v>
      </c>
      <c r="Y281" s="264">
        <f>SUMIF(WMS용마재고!$A:$A,"S210-05.50", WMS용마재고!$L:$L)</f>
        <v>33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103</v>
      </c>
      <c r="AC281" s="264">
        <f>SUMIF(WMS용마재고!$A:$A,"S210-07.00", WMS용마재고!$L:$L)</f>
        <v>25</v>
      </c>
      <c r="AD281" s="264">
        <f>SUMIF(WMS용마재고!$A:$A,"S210-07.50", WMS용마재고!$L:$L)</f>
        <v>35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51</v>
      </c>
      <c r="AP281" s="5">
        <v>119</v>
      </c>
      <c r="AQ281" s="5">
        <v>33</v>
      </c>
      <c r="AR281" s="5">
        <v>109</v>
      </c>
      <c r="AS281" s="5">
        <v>70</v>
      </c>
      <c r="AT281" s="5">
        <v>103</v>
      </c>
      <c r="AU281" s="5">
        <v>25</v>
      </c>
      <c r="AV281" s="5">
        <v>35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1">
        <v>135</v>
      </c>
      <c r="B282" s="589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150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47</v>
      </c>
      <c r="AC282" s="259">
        <f>SUMIF(WMS용마재고!$A:$A,"S301-02.00", WMS용마재고!$L:$L)</f>
        <v>101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39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150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47</v>
      </c>
      <c r="AU282" s="5">
        <v>101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39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2"/>
      <c r="B283" s="590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4">
        <v>136</v>
      </c>
      <c r="B284" s="592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146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51</v>
      </c>
      <c r="AD284" s="259">
        <f>SUMIF(WMS용마재고!$A:$A,"S302-02.25", WMS용마재고!$L:$L)</f>
        <v>35</v>
      </c>
      <c r="AE284" s="259">
        <f>SUMIF(WMS용마재고!$A:$A,"S302-02.50", WMS용마재고!$L:$L)</f>
        <v>9</v>
      </c>
      <c r="AF284" s="259">
        <f>SUMIF(WMS용마재고!$A:$A,"S302-02.75", WMS용마재고!$L:$L)</f>
        <v>39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31</v>
      </c>
      <c r="AO284" s="5">
        <v>28</v>
      </c>
      <c r="AP284" s="5">
        <v>23</v>
      </c>
      <c r="AQ284" s="5">
        <v>146</v>
      </c>
      <c r="AR284" s="5">
        <v>41</v>
      </c>
      <c r="AS284" s="5">
        <v>56</v>
      </c>
      <c r="AT284" s="5">
        <v>43</v>
      </c>
      <c r="AU284" s="5">
        <v>51</v>
      </c>
      <c r="AV284" s="5">
        <v>35</v>
      </c>
      <c r="AW284" s="5">
        <v>9</v>
      </c>
      <c r="AX284" s="5">
        <v>39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5"/>
      <c r="B285" s="586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8">
        <v>137</v>
      </c>
      <c r="B286" s="589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49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99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51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41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49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99</v>
      </c>
      <c r="AU286" s="5">
        <v>78</v>
      </c>
      <c r="AV286" s="5">
        <v>84</v>
      </c>
      <c r="AW286" s="5">
        <v>51</v>
      </c>
      <c r="AX286" s="5">
        <v>51</v>
      </c>
      <c r="AY286" s="5">
        <v>33</v>
      </c>
      <c r="AZ286" s="5">
        <v>109</v>
      </c>
      <c r="BA286" s="5">
        <v>54</v>
      </c>
      <c r="BB286" s="5">
        <v>41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9"/>
      <c r="B287" s="590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4">
        <v>138</v>
      </c>
      <c r="B288" s="595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5"/>
      <c r="B289" s="596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1">
        <v>139</v>
      </c>
      <c r="B290" s="593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2"/>
      <c r="B291" s="594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4">
        <v>140</v>
      </c>
      <c r="B292" s="595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1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45</v>
      </c>
      <c r="AB292" s="269">
        <f>SUMIF(WMS용마재고!$A:$A,"S865-01.75", WMS용마재고!$L:$L)</f>
        <v>82</v>
      </c>
      <c r="AC292" s="269">
        <f>SUMIF(WMS용마재고!$A:$A,"S865-02.00", WMS용마재고!$L:$L)</f>
        <v>104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78</v>
      </c>
      <c r="AG292" s="269">
        <f>SUMIF(WMS용마재고!$A:$A,"S865-03.00", WMS용마재고!$L:$L)</f>
        <v>83</v>
      </c>
      <c r="AH292" s="269">
        <f>SUMIF(WMS용마재고!$A:$A,"S865-03.25", WMS용마재고!$L:$L)</f>
        <v>54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1</v>
      </c>
      <c r="AO292" s="5">
        <v>134</v>
      </c>
      <c r="AP292" s="5">
        <v>0</v>
      </c>
      <c r="AQ292" s="5">
        <v>89</v>
      </c>
      <c r="AR292" s="5">
        <v>130</v>
      </c>
      <c r="AS292" s="5">
        <v>45</v>
      </c>
      <c r="AT292" s="5">
        <v>82</v>
      </c>
      <c r="AU292" s="5">
        <v>104</v>
      </c>
      <c r="AV292" s="5">
        <v>37</v>
      </c>
      <c r="AW292" s="5">
        <v>93</v>
      </c>
      <c r="AX292" s="5">
        <v>78</v>
      </c>
      <c r="AY292" s="5">
        <v>83</v>
      </c>
      <c r="AZ292" s="5">
        <v>54</v>
      </c>
      <c r="BA292" s="5">
        <v>46</v>
      </c>
      <c r="BB292" s="5">
        <v>45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5"/>
      <c r="B293" s="596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46</v>
      </c>
      <c r="W293" s="274">
        <f>SUMIF(WMS용마재고!$A:$A,"S865-05.00", WMS용마재고!$L:$L)</f>
        <v>29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114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46</v>
      </c>
      <c r="AO293" s="5">
        <v>29</v>
      </c>
      <c r="AP293" s="5">
        <v>0</v>
      </c>
      <c r="AQ293" s="5">
        <v>58</v>
      </c>
      <c r="AR293" s="5">
        <v>0</v>
      </c>
      <c r="AS293" s="5">
        <v>60</v>
      </c>
      <c r="AT293" s="5">
        <v>114</v>
      </c>
      <c r="AU293" s="5">
        <v>141</v>
      </c>
      <c r="AV293" s="5">
        <v>112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1">
        <v>141</v>
      </c>
      <c r="B294" s="593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232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224</v>
      </c>
      <c r="AP294" s="5">
        <v>0</v>
      </c>
      <c r="AQ294" s="5">
        <v>128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232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2"/>
      <c r="B295" s="594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137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175</v>
      </c>
      <c r="AP295" s="7">
        <v>0</v>
      </c>
      <c r="AQ295" s="7">
        <v>182</v>
      </c>
      <c r="AR295" s="7">
        <v>0</v>
      </c>
      <c r="AS295" s="7">
        <v>137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4">
        <v>142</v>
      </c>
      <c r="B296" s="592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110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101</v>
      </c>
      <c r="AE296" s="269">
        <f>SUMIF(WMS용마재고!$A:$A,"S873-02.50", WMS용마재고!$L:$L)</f>
        <v>41</v>
      </c>
      <c r="AF296" s="269">
        <f>SUMIF(WMS용마재고!$A:$A,"S873-02.75", WMS용마재고!$L:$L)</f>
        <v>69</v>
      </c>
      <c r="AG296" s="269">
        <f>SUMIF(WMS용마재고!$A:$A,"S873-03.00", WMS용마재고!$L:$L)</f>
        <v>139</v>
      </c>
      <c r="AH296" s="269">
        <f>SUMIF(WMS용마재고!$A:$A,"S873-03.25", WMS용마재고!$L:$L)</f>
        <v>163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111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110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101</v>
      </c>
      <c r="AW296" s="5">
        <v>41</v>
      </c>
      <c r="AX296" s="5">
        <v>69</v>
      </c>
      <c r="AY296" s="5">
        <v>139</v>
      </c>
      <c r="AZ296" s="5">
        <v>163</v>
      </c>
      <c r="BA296" s="5">
        <v>73</v>
      </c>
      <c r="BB296" s="5">
        <v>140</v>
      </c>
      <c r="BC296" s="5">
        <v>111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5"/>
      <c r="B297" s="586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146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146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1">
        <v>143</v>
      </c>
      <c r="B298" s="589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52</v>
      </c>
      <c r="AG298" s="269">
        <f>SUMIF(WMS용마재고!$A:$A,"S867-03.00", WMS용마재고!$L:$L)</f>
        <v>89</v>
      </c>
      <c r="AH298" s="269">
        <f>SUMIF(WMS용마재고!$A:$A,"S867-03.25", WMS용마재고!$L:$L)</f>
        <v>69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72</v>
      </c>
      <c r="AO298" s="5">
        <v>101</v>
      </c>
      <c r="AP298" s="5">
        <v>0</v>
      </c>
      <c r="AQ298" s="5">
        <v>63</v>
      </c>
      <c r="AR298" s="5">
        <v>74</v>
      </c>
      <c r="AS298" s="5">
        <v>44</v>
      </c>
      <c r="AT298" s="5">
        <v>12</v>
      </c>
      <c r="AU298" s="5">
        <v>26</v>
      </c>
      <c r="AV298" s="5">
        <v>106</v>
      </c>
      <c r="AW298" s="5">
        <v>22</v>
      </c>
      <c r="AX298" s="5">
        <v>52</v>
      </c>
      <c r="AY298" s="5">
        <v>89</v>
      </c>
      <c r="AZ298" s="5">
        <v>69</v>
      </c>
      <c r="BA298" s="5">
        <v>93</v>
      </c>
      <c r="BB298" s="5">
        <v>55</v>
      </c>
      <c r="BC298" s="5">
        <v>85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2"/>
      <c r="B299" s="590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88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4">
        <v>144</v>
      </c>
      <c r="B300" s="592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47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101</v>
      </c>
      <c r="AN300" s="9">
        <v>47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5"/>
      <c r="B301" s="586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1">
        <v>145</v>
      </c>
      <c r="B302" s="589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166</v>
      </c>
      <c r="W302" s="269">
        <f>SUMIF(WMS용마재고!$A:$A,"S869-00.50", WMS용마재고!$L:$L)</f>
        <v>110</v>
      </c>
      <c r="X302" s="269">
        <f>SUMIF(WMS용마재고!$A:$A,"S869-00.75", WMS용마재고!$L:$L)</f>
        <v>0</v>
      </c>
      <c r="Y302" s="269">
        <f>SUMIF(WMS용마재고!$A:$A,"S869-01.00", WMS용마재고!$L:$L)</f>
        <v>94</v>
      </c>
      <c r="Z302" s="269">
        <f>SUMIF(WMS용마재고!$A:$A,"S869-01.25", WMS용마재고!$L:$L)</f>
        <v>112</v>
      </c>
      <c r="AA302" s="269">
        <f>SUMIF(WMS용마재고!$A:$A,"S869-01.50", WMS용마재고!$L:$L)</f>
        <v>67</v>
      </c>
      <c r="AB302" s="269">
        <f>SUMIF(WMS용마재고!$A:$A,"S869-01.75", WMS용마재고!$L:$L)</f>
        <v>127</v>
      </c>
      <c r="AC302" s="269">
        <f>SUMIF(WMS용마재고!$A:$A,"S869-02.00", WMS용마재고!$L:$L)</f>
        <v>55</v>
      </c>
      <c r="AD302" s="269">
        <f>SUMIF(WMS용마재고!$A:$A,"S869-02.25", WMS용마재고!$L:$L)</f>
        <v>116</v>
      </c>
      <c r="AE302" s="269">
        <f>SUMIF(WMS용마재고!$A:$A,"S869-02.50", WMS용마재고!$L:$L)</f>
        <v>145</v>
      </c>
      <c r="AF302" s="269">
        <f>SUMIF(WMS용마재고!$A:$A,"S869-02.75", WMS용마재고!$L:$L)</f>
        <v>111</v>
      </c>
      <c r="AG302" s="269">
        <f>SUMIF(WMS용마재고!$A:$A,"S869-03.00", WMS용마재고!$L:$L)</f>
        <v>98</v>
      </c>
      <c r="AH302" s="269">
        <f>SUMIF(WMS용마재고!$A:$A,"S869-03.25", WMS용마재고!$L:$L)</f>
        <v>107</v>
      </c>
      <c r="AI302" s="269">
        <f>SUMIF(WMS용마재고!$A:$A,"S869-03.50", WMS용마재고!$L:$L)</f>
        <v>148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166</v>
      </c>
      <c r="AO302" s="5">
        <v>110</v>
      </c>
      <c r="AP302" s="5">
        <v>0</v>
      </c>
      <c r="AQ302" s="5">
        <v>94</v>
      </c>
      <c r="AR302" s="5">
        <v>112</v>
      </c>
      <c r="AS302" s="5">
        <v>67</v>
      </c>
      <c r="AT302" s="5">
        <v>127</v>
      </c>
      <c r="AU302" s="5">
        <v>55</v>
      </c>
      <c r="AV302" s="5">
        <v>116</v>
      </c>
      <c r="AW302" s="5">
        <v>145</v>
      </c>
      <c r="AX302" s="5">
        <v>111</v>
      </c>
      <c r="AY302" s="5">
        <v>98</v>
      </c>
      <c r="AZ302" s="5">
        <v>107</v>
      </c>
      <c r="BA302" s="5">
        <v>148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2"/>
      <c r="B303" s="590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102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1">
        <v>145</v>
      </c>
      <c r="B304" s="589" t="s">
        <v>5972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130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132</v>
      </c>
      <c r="AM304" s="323">
        <f>SUMIF(WMS용마재고!$A:$A,"s271-04.50", WMS용마재고!$L:$L)</f>
        <v>111</v>
      </c>
      <c r="AN304" s="9">
        <v>102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152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130</v>
      </c>
      <c r="BB304" s="9">
        <v>139</v>
      </c>
      <c r="BC304" s="9">
        <v>120</v>
      </c>
      <c r="BD304" s="9">
        <v>132</v>
      </c>
      <c r="BE304" s="9">
        <v>111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2"/>
      <c r="B305" s="590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108</v>
      </c>
      <c r="AO305" s="9">
        <v>122</v>
      </c>
      <c r="AP305" s="9">
        <v>0</v>
      </c>
      <c r="AQ305" s="9">
        <v>85</v>
      </c>
      <c r="AR305" s="9">
        <v>0</v>
      </c>
      <c r="AS305" s="9">
        <v>91</v>
      </c>
      <c r="AT305" s="9">
        <v>75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1">
        <v>145</v>
      </c>
      <c r="B306" s="589" t="s">
        <v>5973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112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156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112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156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166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2"/>
      <c r="B307" s="590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117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170</v>
      </c>
      <c r="AO307" s="9">
        <v>147</v>
      </c>
      <c r="AP307" s="9">
        <v>0</v>
      </c>
      <c r="AQ307" s="9">
        <v>136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117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1">
        <v>145</v>
      </c>
      <c r="B308" s="589" t="s">
        <v>5974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221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140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221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140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2"/>
      <c r="B309" s="590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1">
        <v>145</v>
      </c>
      <c r="B310" s="589" t="s">
        <v>5975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142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142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2"/>
      <c r="B311" s="590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118</v>
      </c>
      <c r="AP311" s="9">
        <v>0</v>
      </c>
      <c r="AQ311" s="9">
        <v>54</v>
      </c>
      <c r="AR311" s="9">
        <v>0</v>
      </c>
      <c r="AS311" s="9">
        <v>104</v>
      </c>
      <c r="AT311" s="9">
        <v>107</v>
      </c>
      <c r="AU311" s="9">
        <v>162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1">
        <v>145</v>
      </c>
      <c r="B312" s="589" t="s">
        <v>5976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94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110</v>
      </c>
      <c r="AC312" s="269">
        <f>SUMIF(WMS용마재고!$A:$A,"s275-02.00", WMS용마재고!$L:$L)</f>
        <v>115</v>
      </c>
      <c r="AD312" s="269">
        <f>SUMIF(WMS용마재고!$A:$A,"s275-02.25", WMS용마재고!$L:$L)</f>
        <v>107</v>
      </c>
      <c r="AE312" s="269">
        <f>SUMIF(WMS용마재고!$A:$A,"s275-02.50", WMS용마재고!$L:$L)</f>
        <v>108</v>
      </c>
      <c r="AF312" s="269">
        <f>SUMIF(WMS용마재고!$A:$A,"s275-02.75", WMS용마재고!$L:$L)</f>
        <v>109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94</v>
      </c>
      <c r="AO312" s="9">
        <v>59</v>
      </c>
      <c r="AP312" s="9">
        <v>0</v>
      </c>
      <c r="AQ312" s="9">
        <v>112</v>
      </c>
      <c r="AR312" s="9">
        <v>108</v>
      </c>
      <c r="AS312" s="9">
        <v>89</v>
      </c>
      <c r="AT312" s="9">
        <v>110</v>
      </c>
      <c r="AU312" s="9">
        <v>115</v>
      </c>
      <c r="AV312" s="9">
        <v>107</v>
      </c>
      <c r="AW312" s="9">
        <v>108</v>
      </c>
      <c r="AX312" s="9">
        <v>109</v>
      </c>
      <c r="AY312" s="9">
        <v>100</v>
      </c>
      <c r="AZ312" s="9">
        <v>160</v>
      </c>
      <c r="BA312" s="9">
        <v>160</v>
      </c>
      <c r="BB312" s="9">
        <v>196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2"/>
      <c r="B313" s="590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154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4">
        <v>146</v>
      </c>
      <c r="B314" s="585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50</v>
      </c>
      <c r="AF314" s="259">
        <f>SUMIF(WMS용마재고!$A:$A,"S532-02.75", WMS용마재고!$L:$L)</f>
        <v>81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27</v>
      </c>
      <c r="AT314" s="5">
        <v>48</v>
      </c>
      <c r="AU314" s="5">
        <v>176</v>
      </c>
      <c r="AV314" s="5">
        <v>143</v>
      </c>
      <c r="AW314" s="5">
        <v>50</v>
      </c>
      <c r="AX314" s="5">
        <v>81</v>
      </c>
      <c r="AY314" s="5">
        <v>98</v>
      </c>
      <c r="AZ314" s="5">
        <v>159</v>
      </c>
      <c r="BA314" s="5">
        <v>96</v>
      </c>
      <c r="BB314" s="5">
        <v>60</v>
      </c>
      <c r="BC314" s="5">
        <v>122</v>
      </c>
      <c r="BD314" s="5">
        <v>146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5"/>
      <c r="B315" s="586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249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8">
        <v>147</v>
      </c>
      <c r="B316" s="591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66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63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66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33</v>
      </c>
      <c r="AZ316" s="5">
        <v>41</v>
      </c>
      <c r="BA316" s="5">
        <v>179</v>
      </c>
      <c r="BB316" s="5">
        <v>88</v>
      </c>
      <c r="BC316" s="5">
        <v>66</v>
      </c>
      <c r="BD316" s="5">
        <v>63</v>
      </c>
      <c r="BE316" s="6">
        <v>89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9"/>
      <c r="B317" s="590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128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4">
        <v>148</v>
      </c>
      <c r="B318" s="585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50</v>
      </c>
      <c r="AF318" s="259">
        <f>SUMIF(WMS용마재고!$A:$A,"S532-02.75", WMS용마재고!$L:$L)</f>
        <v>81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27</v>
      </c>
      <c r="AT318" s="5">
        <v>48</v>
      </c>
      <c r="AU318" s="5">
        <v>176</v>
      </c>
      <c r="AV318" s="5">
        <v>143</v>
      </c>
      <c r="AW318" s="5">
        <v>50</v>
      </c>
      <c r="AX318" s="5">
        <v>81</v>
      </c>
      <c r="AY318" s="5">
        <v>98</v>
      </c>
      <c r="AZ318" s="5">
        <v>159</v>
      </c>
      <c r="BA318" s="5">
        <v>96</v>
      </c>
      <c r="BB318" s="5">
        <v>60</v>
      </c>
      <c r="BC318" s="5">
        <v>122</v>
      </c>
      <c r="BD318" s="5">
        <v>146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5"/>
      <c r="B319" s="586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249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1">
        <v>149</v>
      </c>
      <c r="B320" s="587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2"/>
      <c r="B321" s="588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1">
        <v>150</v>
      </c>
      <c r="B322" s="570" t="s">
        <v>5516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666</v>
      </c>
      <c r="BC322" s="9">
        <v>612</v>
      </c>
      <c r="BD322" s="9">
        <v>718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2"/>
      <c r="B323" s="571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4">
        <v>151</v>
      </c>
      <c r="B324" s="574" t="s">
        <v>5517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5"/>
      <c r="B325" s="575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8">
        <v>152</v>
      </c>
      <c r="B326" s="570" t="s">
        <v>5518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533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495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533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495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9"/>
      <c r="B327" s="571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490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498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544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490</v>
      </c>
      <c r="AP327" s="9">
        <v>0</v>
      </c>
      <c r="AQ327" s="9">
        <v>498</v>
      </c>
      <c r="AR327" s="9">
        <v>0</v>
      </c>
      <c r="AS327" s="9">
        <v>499</v>
      </c>
      <c r="AT327" s="9">
        <v>502</v>
      </c>
      <c r="AU327" s="9">
        <v>544</v>
      </c>
      <c r="AV327" s="9">
        <v>545</v>
      </c>
      <c r="AW327" s="9">
        <v>546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8">
        <v>153</v>
      </c>
      <c r="B328" s="570" t="s">
        <v>5501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9"/>
      <c r="B329" s="571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2">
        <v>154</v>
      </c>
      <c r="B330" s="574" t="s">
        <v>5502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3"/>
      <c r="B331" s="575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8">
        <v>155</v>
      </c>
      <c r="B332" s="570" t="s">
        <v>5503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9"/>
      <c r="B333" s="577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2">
        <v>156</v>
      </c>
      <c r="B334" s="578" t="s">
        <v>5504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3"/>
      <c r="B335" s="579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8">
        <v>157</v>
      </c>
      <c r="B336" s="580" t="s">
        <v>5505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49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9"/>
      <c r="B337" s="577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2">
        <v>158</v>
      </c>
      <c r="B338" s="578" t="s">
        <v>5506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3"/>
      <c r="B339" s="575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8">
        <v>159</v>
      </c>
      <c r="B340" s="570" t="s">
        <v>5507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9"/>
      <c r="B341" s="571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2">
        <v>160</v>
      </c>
      <c r="B342" s="574" t="s">
        <v>5508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3"/>
      <c r="B343" s="575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8">
        <v>161</v>
      </c>
      <c r="B344" s="570" t="s">
        <v>5509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9"/>
      <c r="B345" s="577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2">
        <v>162</v>
      </c>
      <c r="B346" s="578" t="s">
        <v>5510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3"/>
      <c r="B347" s="579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8">
        <v>163</v>
      </c>
      <c r="B348" s="580" t="s">
        <v>5511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9"/>
      <c r="B349" s="577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2">
        <v>164</v>
      </c>
      <c r="B350" s="578" t="s">
        <v>5512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3"/>
      <c r="B351" s="575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8">
        <v>165</v>
      </c>
      <c r="B352" s="570" t="s">
        <v>5513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49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9"/>
      <c r="B353" s="571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2">
        <v>166</v>
      </c>
      <c r="B354" s="574" t="s">
        <v>5514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3"/>
      <c r="B355" s="575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8">
        <v>167</v>
      </c>
      <c r="B356" s="570" t="s">
        <v>5515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6"/>
      <c r="B357" s="571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4">
        <v>13</v>
      </c>
      <c r="B358" s="566" t="s">
        <v>8882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831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588</v>
      </c>
      <c r="Z358" s="301">
        <f>SUMIF(WMS용마재고!$A:$A,"S174-01.25", WMS용마재고!$L:$L)+SUMIF(WMS용마재고!$A:$A,"a130-01.25", WMS용마재고!$L:$L)</f>
        <v>762</v>
      </c>
      <c r="AA358" s="301">
        <f>SUMIF(WMS용마재고!$A:$A,"S174-01.50", WMS용마재고!$L:$L)+SUMIF(WMS용마재고!$A:$A,"a130-01.50", WMS용마재고!$L:$L)</f>
        <v>622</v>
      </c>
      <c r="AB358" s="301">
        <f>SUMIF(WMS용마재고!$A:$A,"S174-01.75", WMS용마재고!$L:$L)+SUMIF(WMS용마재고!$A:$A,"a130-01.75", WMS용마재고!$L:$L)</f>
        <v>599</v>
      </c>
      <c r="AC358" s="301">
        <f>SUMIF(WMS용마재고!$A:$A,"S174-02.00", WMS용마재고!$L:$L)+SUMIF(WMS용마재고!$A:$A,"a130-02.00", WMS용마재고!$L:$L)</f>
        <v>556</v>
      </c>
      <c r="AD358" s="301">
        <f>SUMIF(WMS용마재고!$A:$A,"S174-02.25", WMS용마재고!$L:$L)+SUMIF(WMS용마재고!$A:$A,"a130-02.25", WMS용마재고!$L:$L)</f>
        <v>606</v>
      </c>
      <c r="AE358" s="301">
        <f>SUMIF(WMS용마재고!$A:$A,"S174-02.50", WMS용마재고!$L:$L)+SUMIF(WMS용마재고!$A:$A,"a130-02.50", WMS용마재고!$L:$L)</f>
        <v>1141</v>
      </c>
      <c r="AF358" s="301">
        <f>SUMIF(WMS용마재고!$A:$A,"S174-02.75", WMS용마재고!$L:$L)+SUMIF(WMS용마재고!$A:$A,"a130-02.75", WMS용마재고!$L:$L)</f>
        <v>581</v>
      </c>
      <c r="AG358" s="301">
        <f>SUMIF(WMS용마재고!$A:$A,"S174-03.00", WMS용마재고!$L:$L)+SUMIF(WMS용마재고!$A:$A,"a130-03.00", WMS용마재고!$L:$L)</f>
        <v>605</v>
      </c>
      <c r="AH358" s="301">
        <f>SUMIF(WMS용마재고!$A:$A,"S174-03.25", WMS용마재고!$L:$L)+SUMIF(WMS용마재고!$A:$A,"a130-03.25", WMS용마재고!$L:$L)</f>
        <v>724</v>
      </c>
      <c r="AI358" s="301">
        <f>SUMIF(WMS용마재고!$A:$A,"S174-03.50", WMS용마재고!$L:$L)+SUMIF(WMS용마재고!$A:$A,"a130-03.50", WMS용마재고!$L:$L)</f>
        <v>766</v>
      </c>
      <c r="AJ358" s="301">
        <f>SUMIF(WMS용마재고!$A:$A,"S174-03.75", WMS용마재고!$L:$L)+SUMIF(WMS용마재고!$A:$A,"a130-03.75", WMS용마재고!$L:$L)</f>
        <v>686</v>
      </c>
      <c r="AK358" s="301">
        <f>SUMIF(WMS용마재고!$A:$A,"S174-04.00", WMS용마재고!$L:$L)+SUMIF(WMS용마재고!$A:$A,"a130-04.00", WMS용마재고!$L:$L)</f>
        <v>575</v>
      </c>
      <c r="AL358" s="301">
        <f>SUMIF(WMS용마재고!$A:$A,"S174-04.25", WMS용마재고!$L:$L)+SUMIF(WMS용마재고!$A:$A,"a130-04.25", WMS용마재고!$L:$L)</f>
        <v>584</v>
      </c>
      <c r="AM358" s="319">
        <f>SUMIF(WMS용마재고!$A:$A,"S174-04.50", WMS용마재고!$L:$L)+SUMIF(WMS용마재고!$A:$A,"a130-04.50", WMS용마재고!$L:$L)</f>
        <v>587</v>
      </c>
      <c r="AN358" s="9">
        <v>831</v>
      </c>
      <c r="AO358" s="9">
        <v>0</v>
      </c>
      <c r="AP358" s="9">
        <v>0</v>
      </c>
      <c r="AQ358" s="9">
        <v>588</v>
      </c>
      <c r="AR358" s="9">
        <v>762</v>
      </c>
      <c r="AS358" s="9">
        <v>622</v>
      </c>
      <c r="AT358" s="9">
        <v>599</v>
      </c>
      <c r="AU358" s="9">
        <v>556</v>
      </c>
      <c r="AV358" s="9">
        <v>606</v>
      </c>
      <c r="AW358" s="9">
        <v>1141</v>
      </c>
      <c r="AX358" s="9">
        <v>581</v>
      </c>
      <c r="AY358" s="9">
        <v>605</v>
      </c>
      <c r="AZ358" s="9">
        <v>724</v>
      </c>
      <c r="BA358" s="9">
        <v>766</v>
      </c>
      <c r="BB358" s="9">
        <v>686</v>
      </c>
      <c r="BC358" s="9">
        <v>575</v>
      </c>
      <c r="BD358" s="9">
        <v>584</v>
      </c>
      <c r="BE358" s="9">
        <v>587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5"/>
      <c r="B359" s="567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585</v>
      </c>
      <c r="W359" s="321">
        <f>SUMIF(WMS용마재고!$A:$A,"S174-05.00", WMS용마재고!$L:$L)+SUMIF(WMS용마재고!$A:$A,"a130-05.00", WMS용마재고!$L:$L)</f>
        <v>593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613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616</v>
      </c>
      <c r="AB359" s="321">
        <f>SUMIF(WMS용마재고!$A:$A,"S174-06.50", WMS용마재고!$L:$L)+SUMIF(WMS용마재고!$A:$A,"a130-06.50", WMS용마재고!$L:$L)</f>
        <v>622</v>
      </c>
      <c r="AC359" s="321">
        <f>SUMIF(WMS용마재고!$A:$A,"S174-07.00", WMS용마재고!$L:$L)+SUMIF(WMS용마재고!$A:$A,"a130-07.00", WMS용마재고!$L:$L)</f>
        <v>537</v>
      </c>
      <c r="AD359" s="321">
        <f>SUMIF(WMS용마재고!$A:$A,"S174-07.50", WMS용마재고!$L:$L)+SUMIF(WMS용마재고!$A:$A,"a130-07.50", WMS용마재고!$L:$L)</f>
        <v>670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585</v>
      </c>
      <c r="AO359" s="9">
        <v>593</v>
      </c>
      <c r="AP359" s="9">
        <v>0</v>
      </c>
      <c r="AQ359" s="9">
        <v>613</v>
      </c>
      <c r="AR359" s="9">
        <v>0</v>
      </c>
      <c r="AS359" s="9">
        <v>616</v>
      </c>
      <c r="AT359" s="9">
        <v>622</v>
      </c>
      <c r="AU359" s="9">
        <v>537</v>
      </c>
      <c r="AV359" s="9">
        <v>670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4">
        <v>13</v>
      </c>
      <c r="B360" s="566" t="s">
        <v>8883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553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554</v>
      </c>
      <c r="Z360" s="301">
        <f>SUMIF(WMS용마재고!$A:$A,"S175-01.25", WMS용마재고!$L:$L)+SUMIF(WMS용마재고!$A:$A,"a130-01.25", WMS용마재고!$L:$L)</f>
        <v>572</v>
      </c>
      <c r="AA360" s="301">
        <f>SUMIF(WMS용마재고!$A:$A,"S175-01.50", WMS용마재고!$L:$L)+SUMIF(WMS용마재고!$A:$A,"a130-01.50", WMS용마재고!$L:$L)</f>
        <v>555</v>
      </c>
      <c r="AB360" s="301">
        <f>SUMIF(WMS용마재고!$A:$A,"S175-01.75", WMS용마재고!$L:$L)+SUMIF(WMS용마재고!$A:$A,"a130-01.75", WMS용마재고!$L:$L)</f>
        <v>559</v>
      </c>
      <c r="AC360" s="301">
        <f>SUMIF(WMS용마재고!$A:$A,"S175-02.00", WMS용마재고!$L:$L)+SUMIF(WMS용마재고!$A:$A,"a130-02.00", WMS용마재고!$L:$L)</f>
        <v>568</v>
      </c>
      <c r="AD360" s="301">
        <f>SUMIF(WMS용마재고!$A:$A,"S175-02.25", WMS용마재고!$L:$L)+SUMIF(WMS용마재고!$A:$A,"a130-02.25", WMS용마재고!$L:$L)</f>
        <v>564</v>
      </c>
      <c r="AE360" s="301">
        <f>SUMIF(WMS용마재고!$A:$A,"S175-02.50", WMS용마재고!$L:$L)+SUMIF(WMS용마재고!$A:$A,"a130-02.50", WMS용마재고!$L:$L)</f>
        <v>580</v>
      </c>
      <c r="AF360" s="301">
        <f>SUMIF(WMS용마재고!$A:$A,"S175-02.75", WMS용마재고!$L:$L)+SUMIF(WMS용마재고!$A:$A,"a130-02.75", WMS용마재고!$L:$L)</f>
        <v>631</v>
      </c>
      <c r="AG360" s="301">
        <f>SUMIF(WMS용마재고!$A:$A,"S175-03.00", WMS용마재고!$L:$L)+SUMIF(WMS용마재고!$A:$A,"a130-03.00", WMS용마재고!$L:$L)</f>
        <v>605</v>
      </c>
      <c r="AH360" s="301">
        <f>SUMIF(WMS용마재고!$A:$A,"S175-03.25", WMS용마재고!$L:$L)+SUMIF(WMS용마재고!$A:$A,"a130-03.25", WMS용마재고!$L:$L)</f>
        <v>543</v>
      </c>
      <c r="AI360" s="301">
        <f>SUMIF(WMS용마재고!$A:$A,"S175-03.50", WMS용마재고!$L:$L)+SUMIF(WMS용마재고!$A:$A,"a130-03.50", WMS용마재고!$L:$L)</f>
        <v>571</v>
      </c>
      <c r="AJ360" s="301">
        <f>SUMIF(WMS용마재고!$A:$A,"S175-03.75", WMS용마재고!$L:$L)+SUMIF(WMS용마재고!$A:$A,"a130-03.75", WMS용마재고!$L:$L)</f>
        <v>577</v>
      </c>
      <c r="AK360" s="301">
        <f>SUMIF(WMS용마재고!$A:$A,"S175-04.00", WMS용마재고!$L:$L)+SUMIF(WMS용마재고!$A:$A,"a130-04.00", WMS용마재고!$L:$L)</f>
        <v>578</v>
      </c>
      <c r="AL360" s="301">
        <f>SUMIF(WMS용마재고!$A:$A,"S175-04.25", WMS용마재고!$L:$L)+SUMIF(WMS용마재고!$A:$A,"a130-04.25", WMS용마재고!$L:$L)</f>
        <v>307</v>
      </c>
      <c r="AM360" s="319">
        <f>SUMIF(WMS용마재고!$A:$A,"S175-04.50", WMS용마재고!$L:$L)+SUMIF(WMS용마재고!$A:$A,"a130-04.50", WMS용마재고!$L:$L)</f>
        <v>560</v>
      </c>
      <c r="AN360" s="9">
        <v>553</v>
      </c>
      <c r="AO360" s="9">
        <v>0</v>
      </c>
      <c r="AP360" s="9">
        <v>0</v>
      </c>
      <c r="AQ360" s="9">
        <v>554</v>
      </c>
      <c r="AR360" s="9">
        <v>572</v>
      </c>
      <c r="AS360" s="9">
        <v>555</v>
      </c>
      <c r="AT360" s="9">
        <v>559</v>
      </c>
      <c r="AU360" s="9">
        <v>568</v>
      </c>
      <c r="AV360" s="9">
        <v>564</v>
      </c>
      <c r="AW360" s="9">
        <v>580</v>
      </c>
      <c r="AX360" s="9">
        <v>631</v>
      </c>
      <c r="AY360" s="9">
        <v>605</v>
      </c>
      <c r="AZ360" s="9">
        <v>543</v>
      </c>
      <c r="BA360" s="9">
        <v>571</v>
      </c>
      <c r="BB360" s="9">
        <v>577</v>
      </c>
      <c r="BC360" s="9">
        <v>578</v>
      </c>
      <c r="BD360" s="9">
        <v>307</v>
      </c>
      <c r="BE360" s="9">
        <v>560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5"/>
      <c r="B361" s="567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627</v>
      </c>
      <c r="W361" s="321">
        <f>SUMIF(WMS용마재고!$A:$A,"S175-05.00", WMS용마재고!$L:$L)+SUMIF(WMS용마재고!$A:$A,"a130-05.00", WMS용마재고!$L:$L)</f>
        <v>556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624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600</v>
      </c>
      <c r="AB361" s="321">
        <f>SUMIF(WMS용마재고!$A:$A,"S175-06.50", WMS용마재고!$L:$L)+SUMIF(WMS용마재고!$A:$A,"a130-06.50", WMS용마재고!$L:$L)</f>
        <v>264</v>
      </c>
      <c r="AC361" s="321">
        <f>SUMIF(WMS용마재고!$A:$A,"S175-07.00", WMS용마재고!$L:$L)+SUMIF(WMS용마재고!$A:$A,"a130-07.00", WMS용마재고!$L:$L)</f>
        <v>625</v>
      </c>
      <c r="AD361" s="321">
        <f>SUMIF(WMS용마재고!$A:$A,"S175-07.50", WMS용마재고!$L:$L)+SUMIF(WMS용마재고!$A:$A,"a130-07.50", WMS용마재고!$L:$L)</f>
        <v>652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627</v>
      </c>
      <c r="AO361" s="9">
        <v>556</v>
      </c>
      <c r="AP361" s="9">
        <v>0</v>
      </c>
      <c r="AQ361" s="9">
        <v>624</v>
      </c>
      <c r="AR361" s="9">
        <v>0</v>
      </c>
      <c r="AS361" s="9">
        <v>600</v>
      </c>
      <c r="AT361" s="9">
        <v>264</v>
      </c>
      <c r="AU361" s="9">
        <v>625</v>
      </c>
      <c r="AV361" s="9">
        <v>652</v>
      </c>
      <c r="AW361" s="9">
        <v>597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4">
        <v>13</v>
      </c>
      <c r="B362" s="566" t="s">
        <v>8884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512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541</v>
      </c>
      <c r="Z362" s="301">
        <f>SUMIF(WMS용마재고!$A:$A,"S176-01.25", WMS용마재고!$L:$L)+SUMIF(WMS용마재고!$A:$A,"a130-01.25", WMS용마재고!$L:$L)</f>
        <v>654</v>
      </c>
      <c r="AA362" s="301">
        <f>SUMIF(WMS용마재고!$A:$A,"S176-01.50", WMS용마재고!$L:$L)+SUMIF(WMS용마재고!$A:$A,"a130-01.50", WMS용마재고!$L:$L)</f>
        <v>569</v>
      </c>
      <c r="AB362" s="301">
        <f>SUMIF(WMS용마재고!$A:$A,"S176-01.75", WMS용마재고!$L:$L)+SUMIF(WMS용마재고!$A:$A,"a130-01.75", WMS용마재고!$L:$L)</f>
        <v>613</v>
      </c>
      <c r="AC362" s="301">
        <f>SUMIF(WMS용마재고!$A:$A,"S176-02.00", WMS용마재고!$L:$L)+SUMIF(WMS용마재고!$A:$A,"a130-02.00", WMS용마재고!$L:$L)</f>
        <v>675</v>
      </c>
      <c r="AD362" s="301">
        <f>SUMIF(WMS용마재고!$A:$A,"S176-02.25", WMS용마재고!$L:$L)+SUMIF(WMS용마재고!$A:$A,"a130-02.25", WMS용마재고!$L:$L)</f>
        <v>564</v>
      </c>
      <c r="AE362" s="301">
        <f>SUMIF(WMS용마재고!$A:$A,"S176-02.50", WMS용마재고!$L:$L)+SUMIF(WMS용마재고!$A:$A,"a130-02.50", WMS용마재고!$L:$L)</f>
        <v>629</v>
      </c>
      <c r="AF362" s="301">
        <f>SUMIF(WMS용마재고!$A:$A,"S176-02.75", WMS용마재고!$L:$L)+SUMIF(WMS용마재고!$A:$A,"a130-02.75", WMS용마재고!$L:$L)</f>
        <v>139</v>
      </c>
      <c r="AG362" s="301">
        <f>SUMIF(WMS용마재고!$A:$A,"S176-03.00", WMS용마재고!$L:$L)+SUMIF(WMS용마재고!$A:$A,"a130-03.00", WMS용마재고!$L:$L)</f>
        <v>601</v>
      </c>
      <c r="AH362" s="301">
        <f>SUMIF(WMS용마재고!$A:$A,"S176-03.25", WMS용마재고!$L:$L)+SUMIF(WMS용마재고!$A:$A,"a130-03.25", WMS용마재고!$L:$L)</f>
        <v>673</v>
      </c>
      <c r="AI362" s="301">
        <f>SUMIF(WMS용마재고!$A:$A,"S176-03.50", WMS용마재고!$L:$L)+SUMIF(WMS용마재고!$A:$A,"a130-03.50", WMS용마재고!$L:$L)</f>
        <v>613</v>
      </c>
      <c r="AJ362" s="301">
        <f>SUMIF(WMS용마재고!$A:$A,"S176-03.75", WMS용마재고!$L:$L)+SUMIF(WMS용마재고!$A:$A,"a130-03.75", WMS용마재고!$L:$L)</f>
        <v>640</v>
      </c>
      <c r="AK362" s="301">
        <f>SUMIF(WMS용마재고!$A:$A,"S176-04.00", WMS용마재고!$L:$L)+SUMIF(WMS용마재고!$A:$A,"a130-04.00", WMS용마재고!$L:$L)</f>
        <v>623</v>
      </c>
      <c r="AL362" s="301">
        <f>SUMIF(WMS용마재고!$A:$A,"S176-04.25", WMS용마재고!$L:$L)+SUMIF(WMS용마재고!$A:$A,"a130-04.25", WMS용마재고!$L:$L)</f>
        <v>582</v>
      </c>
      <c r="AM362" s="319">
        <f>SUMIF(WMS용마재고!$A:$A,"S176-04.50", WMS용마재고!$L:$L)+SUMIF(WMS용마재고!$A:$A,"a130-04.50", WMS용마재고!$L:$L)</f>
        <v>594</v>
      </c>
      <c r="AN362" s="9">
        <v>512</v>
      </c>
      <c r="AO362" s="9">
        <v>0</v>
      </c>
      <c r="AP362" s="9">
        <v>0</v>
      </c>
      <c r="AQ362" s="9">
        <v>541</v>
      </c>
      <c r="AR362" s="9">
        <v>654</v>
      </c>
      <c r="AS362" s="9">
        <v>569</v>
      </c>
      <c r="AT362" s="9">
        <v>613</v>
      </c>
      <c r="AU362" s="9">
        <v>675</v>
      </c>
      <c r="AV362" s="9">
        <v>564</v>
      </c>
      <c r="AW362" s="9">
        <v>629</v>
      </c>
      <c r="AX362" s="9">
        <v>139</v>
      </c>
      <c r="AY362" s="9">
        <v>601</v>
      </c>
      <c r="AZ362" s="9">
        <v>673</v>
      </c>
      <c r="BA362" s="9">
        <v>613</v>
      </c>
      <c r="BB362" s="9">
        <v>640</v>
      </c>
      <c r="BC362" s="9">
        <v>623</v>
      </c>
      <c r="BD362" s="9">
        <v>582</v>
      </c>
      <c r="BE362" s="9">
        <v>594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5"/>
      <c r="B363" s="567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620</v>
      </c>
      <c r="W363" s="321">
        <f>SUMIF(WMS용마재고!$A:$A,"S176-05.00", WMS용마재고!$L:$L)+SUMIF(WMS용마재고!$A:$A,"a130-05.00", WMS용마재고!$L:$L)</f>
        <v>605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355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438</v>
      </c>
      <c r="AB363" s="321">
        <f>SUMIF(WMS용마재고!$A:$A,"S176-06.50", WMS용마재고!$L:$L)+SUMIF(WMS용마재고!$A:$A,"a130-06.50", WMS용마재고!$L:$L)</f>
        <v>636</v>
      </c>
      <c r="AC363" s="321">
        <f>SUMIF(WMS용마재고!$A:$A,"S176-07.00", WMS용마재고!$L:$L)+SUMIF(WMS용마재고!$A:$A,"a130-07.00", WMS용마재고!$L:$L)</f>
        <v>599</v>
      </c>
      <c r="AD363" s="321">
        <f>SUMIF(WMS용마재고!$A:$A,"S176-07.50", WMS용마재고!$L:$L)+SUMIF(WMS용마재고!$A:$A,"a130-07.50", WMS용마재고!$L:$L)</f>
        <v>629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620</v>
      </c>
      <c r="AO363" s="9">
        <v>605</v>
      </c>
      <c r="AP363" s="9">
        <v>0</v>
      </c>
      <c r="AQ363" s="9">
        <v>355</v>
      </c>
      <c r="AR363" s="9">
        <v>0</v>
      </c>
      <c r="AS363" s="9">
        <v>438</v>
      </c>
      <c r="AT363" s="9">
        <v>636</v>
      </c>
      <c r="AU363" s="9">
        <v>599</v>
      </c>
      <c r="AV363" s="9">
        <v>629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4">
        <v>13</v>
      </c>
      <c r="B364" s="566" t="s">
        <v>8885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317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301</v>
      </c>
      <c r="Z364" s="301">
        <f>SUMIF(WMS용마재고!$A:$A,"S317-01.25", WMS용마재고!$L:$L)+SUMIF(WMS용마재고!$A:$A,"a130-01.25", WMS용마재고!$L:$L)</f>
        <v>291</v>
      </c>
      <c r="AA364" s="301">
        <f>SUMIF(WMS용마재고!$A:$A,"S317-01.50", WMS용마재고!$L:$L)+SUMIF(WMS용마재고!$A:$A,"a130-01.50", WMS용마재고!$L:$L)</f>
        <v>299</v>
      </c>
      <c r="AB364" s="301">
        <f>SUMIF(WMS용마재고!$A:$A,"S317-01.75", WMS용마재고!$L:$L)+SUMIF(WMS용마재고!$A:$A,"a130-01.75", WMS용마재고!$L:$L)</f>
        <v>288</v>
      </c>
      <c r="AC364" s="301">
        <f>SUMIF(WMS용마재고!$A:$A,"S317-02.00", WMS용마재고!$L:$L)+SUMIF(WMS용마재고!$A:$A,"a130-02.00", WMS용마재고!$L:$L)</f>
        <v>267</v>
      </c>
      <c r="AD364" s="301">
        <f>SUMIF(WMS용마재고!$A:$A,"S317-02.25", WMS용마재고!$L:$L)+SUMIF(WMS용마재고!$A:$A,"a130-02.25", WMS용마재고!$L:$L)</f>
        <v>271</v>
      </c>
      <c r="AE364" s="301">
        <f>SUMIF(WMS용마재고!$A:$A,"S317-02.50", WMS용마재고!$L:$L)+SUMIF(WMS용마재고!$A:$A,"a130-02.50", WMS용마재고!$L:$L)</f>
        <v>305</v>
      </c>
      <c r="AF364" s="301">
        <f>SUMIF(WMS용마재고!$A:$A,"S317-02.75", WMS용마재고!$L:$L)+SUMIF(WMS용마재고!$A:$A,"a130-02.75", WMS용마재고!$L:$L)</f>
        <v>303</v>
      </c>
      <c r="AG364" s="301">
        <f>SUMIF(WMS용마재고!$A:$A,"S317-03.00", WMS용마재고!$L:$L)+SUMIF(WMS용마재고!$A:$A,"a130-03.00", WMS용마재고!$L:$L)</f>
        <v>294</v>
      </c>
      <c r="AH364" s="301">
        <f>SUMIF(WMS용마재고!$A:$A,"S317-03.25", WMS용마재고!$L:$L)+SUMIF(WMS용마재고!$A:$A,"a130-03.25", WMS용마재고!$L:$L)</f>
        <v>270</v>
      </c>
      <c r="AI364" s="301">
        <f>SUMIF(WMS용마재고!$A:$A,"S317-03.50", WMS용마재고!$L:$L)+SUMIF(WMS용마재고!$A:$A,"a130-03.50", WMS용마재고!$L:$L)</f>
        <v>276</v>
      </c>
      <c r="AJ364" s="301">
        <f>SUMIF(WMS용마재고!$A:$A,"S317-03.75", WMS용마재고!$L:$L)+SUMIF(WMS용마재고!$A:$A,"a130-03.75", WMS용마재고!$L:$L)</f>
        <v>277</v>
      </c>
      <c r="AK364" s="301">
        <f>SUMIF(WMS용마재고!$A:$A,"S317-04.00", WMS용마재고!$L:$L)+SUMIF(WMS용마재고!$A:$A,"a130-04.00", WMS용마재고!$L:$L)</f>
        <v>267</v>
      </c>
      <c r="AL364" s="301">
        <f>SUMIF(WMS용마재고!$A:$A,"S317-04.25", WMS용마재고!$L:$L)+SUMIF(WMS용마재고!$A:$A,"a130-04.25", WMS용마재고!$L:$L)</f>
        <v>253</v>
      </c>
      <c r="AM364" s="319">
        <f>SUMIF(WMS용마재고!$A:$A,"S317-04.50", WMS용마재고!$L:$L)+SUMIF(WMS용마재고!$A:$A,"a130-04.50", WMS용마재고!$L:$L)</f>
        <v>257</v>
      </c>
      <c r="AN364" s="9">
        <v>317</v>
      </c>
      <c r="AO364" s="9">
        <v>0</v>
      </c>
      <c r="AP364" s="9">
        <v>0</v>
      </c>
      <c r="AQ364" s="9">
        <v>301</v>
      </c>
      <c r="AR364" s="9">
        <v>291</v>
      </c>
      <c r="AS364" s="9">
        <v>299</v>
      </c>
      <c r="AT364" s="9">
        <v>288</v>
      </c>
      <c r="AU364" s="9">
        <v>267</v>
      </c>
      <c r="AV364" s="9">
        <v>271</v>
      </c>
      <c r="AW364" s="9">
        <v>305</v>
      </c>
      <c r="AX364" s="9">
        <v>303</v>
      </c>
      <c r="AY364" s="9">
        <v>294</v>
      </c>
      <c r="AZ364" s="9">
        <v>270</v>
      </c>
      <c r="BA364" s="9">
        <v>276</v>
      </c>
      <c r="BB364" s="9">
        <v>277</v>
      </c>
      <c r="BC364" s="9">
        <v>267</v>
      </c>
      <c r="BD364" s="9">
        <v>253</v>
      </c>
      <c r="BE364" s="9">
        <v>257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5"/>
      <c r="B365" s="567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263</v>
      </c>
      <c r="W365" s="321">
        <f>SUMIF(WMS용마재고!$A:$A,"S317-05.00", WMS용마재고!$L:$L)+SUMIF(WMS용마재고!$A:$A,"a130-05.00", WMS용마재고!$L:$L)</f>
        <v>263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278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292</v>
      </c>
      <c r="AB365" s="321">
        <f>SUMIF(WMS용마재고!$A:$A,"S317-06.50", WMS용마재고!$L:$L)+SUMIF(WMS용마재고!$A:$A,"a130-06.50", WMS용마재고!$L:$L)</f>
        <v>216</v>
      </c>
      <c r="AC365" s="321">
        <f>SUMIF(WMS용마재고!$A:$A,"S317-07.00", WMS용마재고!$L:$L)+SUMIF(WMS용마재고!$A:$A,"a130-07.00", WMS용마재고!$L:$L)</f>
        <v>342</v>
      </c>
      <c r="AD365" s="321">
        <f>SUMIF(WMS용마재고!$A:$A,"S317-07.50", WMS용마재고!$L:$L)+SUMIF(WMS용마재고!$A:$A,"a130-07.50", WMS용마재고!$L:$L)</f>
        <v>358</v>
      </c>
      <c r="AE365" s="321">
        <f>SUMIF(WMS용마재고!$A:$A,"S317-08.00", WMS용마재고!$L:$L)+SUMIF(WMS용마재고!$A:$A,"a130-08.00", WMS용마재고!$L:$L)</f>
        <v>364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263</v>
      </c>
      <c r="AO365" s="9">
        <v>263</v>
      </c>
      <c r="AP365" s="9">
        <v>0</v>
      </c>
      <c r="AQ365" s="9">
        <v>278</v>
      </c>
      <c r="AR365" s="9">
        <v>0</v>
      </c>
      <c r="AS365" s="9">
        <v>292</v>
      </c>
      <c r="AT365" s="9">
        <v>216</v>
      </c>
      <c r="AU365" s="9">
        <v>342</v>
      </c>
      <c r="AV365" s="9">
        <v>358</v>
      </c>
      <c r="AW365" s="9">
        <v>364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4">
        <v>13</v>
      </c>
      <c r="B366" s="566" t="s">
        <v>8881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5"/>
      <c r="B367" s="567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4">
        <v>13</v>
      </c>
      <c r="B368" s="566" t="s">
        <v>8819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5"/>
      <c r="B369" s="567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4">
        <v>13</v>
      </c>
      <c r="B370" s="566" t="s">
        <v>8820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478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537</v>
      </c>
      <c r="Z370" s="301">
        <f>SUMIF(WMS용마재고!$A:$A,"S309-01.25", WMS용마재고!$L:$L)+SUMIF(WMS용마재고!$A:$A,"a130-01.25", WMS용마재고!$L:$L)</f>
        <v>437</v>
      </c>
      <c r="AA370" s="301">
        <f>SUMIF(WMS용마재고!$A:$A,"S309-01.50", WMS용마재고!$L:$L)+SUMIF(WMS용마재고!$A:$A,"a130-01.50", WMS용마재고!$L:$L)</f>
        <v>481</v>
      </c>
      <c r="AB370" s="301">
        <f>SUMIF(WMS용마재고!$A:$A,"S309-01.75", WMS용마재고!$L:$L)+SUMIF(WMS용마재고!$A:$A,"a130-01.75", WMS용마재고!$L:$L)</f>
        <v>350</v>
      </c>
      <c r="AC370" s="301">
        <f>SUMIF(WMS용마재고!$A:$A,"S309-02.00", WMS용마재고!$L:$L)+SUMIF(WMS용마재고!$A:$A,"a130-02.00", WMS용마재고!$L:$L)</f>
        <v>481</v>
      </c>
      <c r="AD370" s="301">
        <f>SUMIF(WMS용마재고!$A:$A,"S309-02.25", WMS용마재고!$L:$L)+SUMIF(WMS용마재고!$A:$A,"a130-02.25", WMS용마재고!$L:$L)</f>
        <v>558</v>
      </c>
      <c r="AE370" s="301">
        <f>SUMIF(WMS용마재고!$A:$A,"S309-02.50", WMS용마재고!$L:$L)+SUMIF(WMS용마재고!$A:$A,"a130-02.50", WMS용마재고!$L:$L)</f>
        <v>580</v>
      </c>
      <c r="AF370" s="301">
        <f>SUMIF(WMS용마재고!$A:$A,"S309-02.75", WMS용마재고!$L:$L)+SUMIF(WMS용마재고!$A:$A,"a130-02.75", WMS용마재고!$L:$L)</f>
        <v>138</v>
      </c>
      <c r="AG370" s="301">
        <f>SUMIF(WMS용마재고!$A:$A,"S309-03.00", WMS용마재고!$L:$L)+SUMIF(WMS용마재고!$A:$A,"a130-03.00", WMS용마재고!$L:$L)</f>
        <v>443</v>
      </c>
      <c r="AH370" s="301">
        <f>SUMIF(WMS용마재고!$A:$A,"S309-03.25", WMS용마재고!$L:$L)+SUMIF(WMS용마재고!$A:$A,"a130-03.25", WMS용마재고!$L:$L)</f>
        <v>441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478</v>
      </c>
      <c r="AO370" s="9">
        <v>0</v>
      </c>
      <c r="AP370" s="9">
        <v>0</v>
      </c>
      <c r="AQ370" s="9">
        <v>537</v>
      </c>
      <c r="AR370" s="9">
        <v>437</v>
      </c>
      <c r="AS370" s="9">
        <v>481</v>
      </c>
      <c r="AT370" s="9">
        <v>350</v>
      </c>
      <c r="AU370" s="9">
        <v>481</v>
      </c>
      <c r="AV370" s="9">
        <v>558</v>
      </c>
      <c r="AW370" s="9">
        <v>580</v>
      </c>
      <c r="AX370" s="9">
        <v>138</v>
      </c>
      <c r="AY370" s="9">
        <v>443</v>
      </c>
      <c r="AZ370" s="9">
        <v>441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5"/>
      <c r="B371" s="567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4">
        <v>13</v>
      </c>
      <c r="B372" s="566" t="s">
        <v>8821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5"/>
      <c r="B373" s="567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4">
        <v>13</v>
      </c>
      <c r="B374" s="566" t="s">
        <v>8886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5"/>
      <c r="B375" s="567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4">
        <v>13</v>
      </c>
      <c r="B376" s="566" t="s">
        <v>8887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5"/>
      <c r="B377" s="567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4">
        <v>13</v>
      </c>
      <c r="B378" s="566" t="s">
        <v>8888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200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130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130</v>
      </c>
      <c r="AG378" s="301">
        <f>SUMIF(WMS용마재고!$A:$A,"S320-03.00", WMS용마재고!$L:$L)+SUMIF(WMS용마재고!$A:$A,"a130-03.00", WMS용마재고!$L:$L)</f>
        <v>130</v>
      </c>
      <c r="AH378" s="301">
        <f>SUMIF(WMS용마재고!$A:$A,"S320-03.25", WMS용마재고!$L:$L)+SUMIF(WMS용마재고!$A:$A,"a130-03.25", WMS용마재고!$L:$L)</f>
        <v>130</v>
      </c>
      <c r="AI378" s="301">
        <f>SUMIF(WMS용마재고!$A:$A,"S320-03.50", WMS용마재고!$L:$L)+SUMIF(WMS용마재고!$A:$A,"a130-03.50", WMS용마재고!$L:$L)</f>
        <v>130</v>
      </c>
      <c r="AJ378" s="301">
        <f>SUMIF(WMS용마재고!$A:$A,"S320-03.75", WMS용마재고!$L:$L)+SUMIF(WMS용마재고!$A:$A,"a130-03.75", WMS용마재고!$L:$L)</f>
        <v>130</v>
      </c>
      <c r="AK378" s="301">
        <f>SUMIF(WMS용마재고!$A:$A,"S320-04.00", WMS용마재고!$L:$L)+SUMIF(WMS용마재고!$A:$A,"a130-04.00", WMS용마재고!$L:$L)</f>
        <v>130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200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130</v>
      </c>
      <c r="AU378" s="9">
        <v>130</v>
      </c>
      <c r="AV378" s="9">
        <v>130</v>
      </c>
      <c r="AW378" s="9">
        <v>130</v>
      </c>
      <c r="AX378" s="9">
        <v>130</v>
      </c>
      <c r="AY378" s="9">
        <v>130</v>
      </c>
      <c r="AZ378" s="9">
        <v>130</v>
      </c>
      <c r="BA378" s="9">
        <v>130</v>
      </c>
      <c r="BB378" s="9">
        <v>130</v>
      </c>
      <c r="BC378" s="9">
        <v>130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5"/>
      <c r="B379" s="567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4">
        <v>13</v>
      </c>
      <c r="B380" s="566" t="s">
        <v>8889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5"/>
      <c r="B381" s="567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43" priority="35">
      <formula>V91&lt;20</formula>
    </cfRule>
  </conditionalFormatting>
  <conditionalFormatting sqref="C96:D96">
    <cfRule type="expression" dxfId="542" priority="1904">
      <formula>V96&lt;20</formula>
    </cfRule>
    <cfRule type="expression" dxfId="541" priority="1903">
      <formula>BX96="경고"</formula>
    </cfRule>
    <cfRule type="expression" dxfId="540" priority="1902">
      <formula>BF96="증가"</formula>
    </cfRule>
  </conditionalFormatting>
  <conditionalFormatting sqref="C98:D98">
    <cfRule type="expression" dxfId="539" priority="1885">
      <formula>BX98="경고"</formula>
    </cfRule>
    <cfRule type="expression" dxfId="538" priority="1886">
      <formula>V98&lt;20</formula>
    </cfRule>
    <cfRule type="expression" dxfId="537" priority="1884">
      <formula>BF98="증가"</formula>
    </cfRule>
  </conditionalFormatting>
  <conditionalFormatting sqref="C100:D100">
    <cfRule type="expression" dxfId="536" priority="1893">
      <formula>BF100="증가"</formula>
    </cfRule>
    <cfRule type="expression" dxfId="535" priority="1894">
      <formula>BX100="경고"</formula>
    </cfRule>
    <cfRule type="expression" dxfId="534" priority="1895">
      <formula>V100&lt;20</formula>
    </cfRule>
  </conditionalFormatting>
  <conditionalFormatting sqref="C102:D102">
    <cfRule type="expression" dxfId="533" priority="1866">
      <formula>BF102="증가"</formula>
    </cfRule>
    <cfRule type="expression" dxfId="532" priority="1867">
      <formula>BX102="경고"</formula>
    </cfRule>
  </conditionalFormatting>
  <conditionalFormatting sqref="C104:D104">
    <cfRule type="expression" dxfId="531" priority="1876">
      <formula>BX104="경고"</formula>
    </cfRule>
    <cfRule type="expression" dxfId="530" priority="1875">
      <formula>BF104="증가"</formula>
    </cfRule>
  </conditionalFormatting>
  <conditionalFormatting sqref="C106:D106">
    <cfRule type="expression" dxfId="529" priority="1858">
      <formula>BX106="경고"</formula>
    </cfRule>
    <cfRule type="expression" dxfId="528" priority="1857">
      <formula>BF106="증가"</formula>
    </cfRule>
  </conditionalFormatting>
  <conditionalFormatting sqref="C114:D129">
    <cfRule type="expression" dxfId="527" priority="1149">
      <formula>BF114="증가"</formula>
    </cfRule>
    <cfRule type="expression" dxfId="526" priority="1150">
      <formula>BX114="경고"</formula>
    </cfRule>
  </conditionalFormatting>
  <conditionalFormatting sqref="C151:D151 F151 F152:T152 C153:D153 F153">
    <cfRule type="expression" dxfId="525" priority="2067">
      <formula>BF151="증가"</formula>
    </cfRule>
    <cfRule type="expression" dxfId="524" priority="2068">
      <formula>BX151="경고"</formula>
    </cfRule>
  </conditionalFormatting>
  <conditionalFormatting sqref="C334:D349">
    <cfRule type="expression" dxfId="523" priority="114">
      <formula>BX334="경고"</formula>
    </cfRule>
    <cfRule type="expression" dxfId="522" priority="113">
      <formula>BF334="증가"</formula>
    </cfRule>
  </conditionalFormatting>
  <conditionalFormatting sqref="C101:E106">
    <cfRule type="expression" dxfId="521" priority="1085">
      <formula>V101&lt;30</formula>
    </cfRule>
  </conditionalFormatting>
  <conditionalFormatting sqref="C97:J97">
    <cfRule type="expression" dxfId="520" priority="1833">
      <formula>BF97="증가"</formula>
    </cfRule>
    <cfRule type="expression" dxfId="519" priority="1834">
      <formula>BX97="경고"</formula>
    </cfRule>
  </conditionalFormatting>
  <conditionalFormatting sqref="C99:J99">
    <cfRule type="expression" dxfId="518" priority="1816">
      <formula>BX99="경고"</formula>
    </cfRule>
    <cfRule type="expression" dxfId="517" priority="1815">
      <formula>BF99="증가"</formula>
    </cfRule>
  </conditionalFormatting>
  <conditionalFormatting sqref="C101:J101">
    <cfRule type="expression" dxfId="516" priority="1830">
      <formula>BF101="증가"</formula>
    </cfRule>
    <cfRule type="expression" dxfId="515" priority="1831">
      <formula>BX101="경고"</formula>
    </cfRule>
  </conditionalFormatting>
  <conditionalFormatting sqref="C103:J103">
    <cfRule type="expression" dxfId="514" priority="1827">
      <formula>BF103="증가"</formula>
    </cfRule>
    <cfRule type="expression" dxfId="513" priority="1828">
      <formula>BX103="경고"</formula>
    </cfRule>
  </conditionalFormatting>
  <conditionalFormatting sqref="C105:J105">
    <cfRule type="expression" dxfId="512" priority="1825">
      <formula>BX105="경고"</formula>
    </cfRule>
    <cfRule type="expression" dxfId="511" priority="1824">
      <formula>BF105="증가"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10" priority="1067">
      <formula>V107&lt;5</formula>
    </cfRule>
  </conditionalFormatting>
  <conditionalFormatting sqref="C155:N155">
    <cfRule type="expression" dxfId="509" priority="2046">
      <formula>BF155="증가"</formula>
    </cfRule>
    <cfRule type="expression" dxfId="508" priority="2047">
      <formula>BX155="경고"</formula>
    </cfRule>
  </conditionalFormatting>
  <conditionalFormatting sqref="C157:N157">
    <cfRule type="expression" dxfId="507" priority="2035">
      <formula>BX157="경고"</formula>
    </cfRule>
    <cfRule type="expression" dxfId="506" priority="2034">
      <formula>BF157="증가"</formula>
    </cfRule>
  </conditionalFormatting>
  <conditionalFormatting sqref="C159:N159">
    <cfRule type="expression" dxfId="505" priority="2023">
      <formula>BX159="경고"</formula>
    </cfRule>
    <cfRule type="expression" dxfId="504" priority="2022">
      <formula>BF159="증가"</formula>
    </cfRule>
  </conditionalFormatting>
  <conditionalFormatting sqref="C161:N161">
    <cfRule type="expression" dxfId="503" priority="2011">
      <formula>BX161="경고"</formula>
    </cfRule>
    <cfRule type="expression" dxfId="502" priority="2010">
      <formula>BF161="증가"</formula>
    </cfRule>
  </conditionalFormatting>
  <conditionalFormatting sqref="C163:N163">
    <cfRule type="expression" dxfId="501" priority="1999">
      <formula>BX163="경고"</formula>
    </cfRule>
    <cfRule type="expression" dxfId="500" priority="1998">
      <formula>BF163="증가"</formula>
    </cfRule>
  </conditionalFormatting>
  <conditionalFormatting sqref="C2:T5">
    <cfRule type="expression" dxfId="499" priority="2398">
      <formula>BF2="증가"</formula>
    </cfRule>
    <cfRule type="expression" dxfId="498" priority="2397">
      <formula>V2&lt;30</formula>
    </cfRule>
    <cfRule type="expression" dxfId="497" priority="2399">
      <formula>BX2="경고"</formula>
    </cfRule>
  </conditionalFormatting>
  <conditionalFormatting sqref="C7:T7">
    <cfRule type="expression" dxfId="496" priority="2393">
      <formula>V7&lt;30</formula>
    </cfRule>
  </conditionalFormatting>
  <conditionalFormatting sqref="C7:T95">
    <cfRule type="expression" dxfId="495" priority="29">
      <formula>BX7="경고"</formula>
    </cfRule>
    <cfRule type="expression" dxfId="494" priority="28">
      <formula>BF7="증가"</formula>
    </cfRule>
  </conditionalFormatting>
  <conditionalFormatting sqref="C8:T9">
    <cfRule type="expression" dxfId="493" priority="2231">
      <formula>V8&lt;20</formula>
    </cfRule>
  </conditionalFormatting>
  <conditionalFormatting sqref="C10:T13">
    <cfRule type="expression" dxfId="492" priority="2234">
      <formula>V10&lt;30</formula>
    </cfRule>
  </conditionalFormatting>
  <conditionalFormatting sqref="C14:T15">
    <cfRule type="expression" dxfId="491" priority="2243">
      <formula>V14&lt;20</formula>
    </cfRule>
  </conditionalFormatting>
  <conditionalFormatting sqref="C16:T19">
    <cfRule type="expression" dxfId="490" priority="2240">
      <formula>V16&lt;30</formula>
    </cfRule>
  </conditionalFormatting>
  <conditionalFormatting sqref="C20:T21">
    <cfRule type="expression" dxfId="489" priority="2246">
      <formula>V20&lt;20</formula>
    </cfRule>
  </conditionalFormatting>
  <conditionalFormatting sqref="C22:T23">
    <cfRule type="expression" dxfId="488" priority="2252">
      <formula>V22&lt;30</formula>
    </cfRule>
  </conditionalFormatting>
  <conditionalFormatting sqref="C24:T25">
    <cfRule type="expression" dxfId="487" priority="2255">
      <formula>V24&lt;20</formula>
    </cfRule>
  </conditionalFormatting>
  <conditionalFormatting sqref="C26:T89">
    <cfRule type="expression" dxfId="486" priority="151">
      <formula>V26&lt;30</formula>
    </cfRule>
  </conditionalFormatting>
  <conditionalFormatting sqref="C90:T90">
    <cfRule type="expression" dxfId="485" priority="31">
      <formula>V90&lt;20</formula>
    </cfRule>
  </conditionalFormatting>
  <conditionalFormatting sqref="C92:T95">
    <cfRule type="expression" dxfId="484" priority="30">
      <formula>V92&lt;30</formula>
    </cfRule>
  </conditionalFormatting>
  <conditionalFormatting sqref="C107:T113">
    <cfRule type="expression" dxfId="483" priority="585">
      <formula>BX107="경고"</formula>
    </cfRule>
    <cfRule type="expression" dxfId="482" priority="584">
      <formula>BF107="증가"</formula>
    </cfRule>
  </conditionalFormatting>
  <conditionalFormatting sqref="C130:T130 C132:T132">
    <cfRule type="expression" dxfId="481" priority="1300">
      <formula>BX130="경고"</formula>
    </cfRule>
  </conditionalFormatting>
  <conditionalFormatting sqref="C131:T131">
    <cfRule type="expression" dxfId="480" priority="513">
      <formula>BX131="경고"</formula>
    </cfRule>
    <cfRule type="expression" dxfId="479" priority="512">
      <formula>BF131="증가"</formula>
    </cfRule>
  </conditionalFormatting>
  <conditionalFormatting sqref="C132:T132 C130:T130">
    <cfRule type="expression" dxfId="478" priority="1299">
      <formula>BF130="증가"</formula>
    </cfRule>
  </conditionalFormatting>
  <conditionalFormatting sqref="C133:T133">
    <cfRule type="expression" dxfId="477" priority="494">
      <formula>BF133="증가"</formula>
    </cfRule>
    <cfRule type="expression" dxfId="476" priority="495">
      <formula>BX133="경고"</formula>
    </cfRule>
  </conditionalFormatting>
  <conditionalFormatting sqref="C134:T134">
    <cfRule type="expression" dxfId="475" priority="1284">
      <formula>BF134="증가"</formula>
    </cfRule>
    <cfRule type="expression" dxfId="474" priority="1285">
      <formula>BX134="경고"</formula>
    </cfRule>
  </conditionalFormatting>
  <conditionalFormatting sqref="C135:T135">
    <cfRule type="expression" dxfId="473" priority="486">
      <formula>BX135="경고"</formula>
    </cfRule>
    <cfRule type="expression" dxfId="472" priority="485">
      <formula>BF135="증가"</formula>
    </cfRule>
  </conditionalFormatting>
  <conditionalFormatting sqref="C136:T136">
    <cfRule type="expression" dxfId="471" priority="1269">
      <formula>BF136="증가"</formula>
    </cfRule>
    <cfRule type="expression" dxfId="470" priority="1270">
      <formula>BX136="경고"</formula>
    </cfRule>
  </conditionalFormatting>
  <conditionalFormatting sqref="C137:T149">
    <cfRule type="expression" dxfId="469" priority="423">
      <formula>BX137="경고"</formula>
    </cfRule>
    <cfRule type="expression" dxfId="468" priority="422">
      <formula>BF137="증가"</formula>
    </cfRule>
  </conditionalFormatting>
  <conditionalFormatting sqref="C154:T154">
    <cfRule type="expression" dxfId="467" priority="2037">
      <formula>BF154="증가"</formula>
    </cfRule>
    <cfRule type="expression" dxfId="466" priority="2038">
      <formula>BX154="경고"</formula>
    </cfRule>
  </conditionalFormatting>
  <conditionalFormatting sqref="C154:T163">
    <cfRule type="expression" dxfId="465" priority="388">
      <formula>V154&lt;20</formula>
    </cfRule>
  </conditionalFormatting>
  <conditionalFormatting sqref="C156:T156">
    <cfRule type="expression" dxfId="464" priority="2025">
      <formula>BF156="증가"</formula>
    </cfRule>
    <cfRule type="expression" dxfId="463" priority="2026">
      <formula>BX156="경고"</formula>
    </cfRule>
  </conditionalFormatting>
  <conditionalFormatting sqref="C158:T158">
    <cfRule type="expression" dxfId="462" priority="2014">
      <formula>BX158="경고"</formula>
    </cfRule>
    <cfRule type="expression" dxfId="461" priority="2013">
      <formula>BF158="증가"</formula>
    </cfRule>
  </conditionalFormatting>
  <conditionalFormatting sqref="C160:T160">
    <cfRule type="expression" dxfId="460" priority="2002">
      <formula>BX160="경고"</formula>
    </cfRule>
    <cfRule type="expression" dxfId="459" priority="2001">
      <formula>BF160="증가"</formula>
    </cfRule>
  </conditionalFormatting>
  <conditionalFormatting sqref="C162:T162">
    <cfRule type="expression" dxfId="458" priority="1990">
      <formula>BX162="경고"</formula>
    </cfRule>
    <cfRule type="expression" dxfId="457" priority="1989">
      <formula>BF162="증가"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56" priority="707">
      <formula>V164&lt;10</formula>
    </cfRule>
  </conditionalFormatting>
  <conditionalFormatting sqref="C164:T333">
    <cfRule type="expression" dxfId="455" priority="45">
      <formula>BX164="경고"</formula>
    </cfRule>
    <cfRule type="expression" dxfId="454" priority="44">
      <formula>BF164="증가"</formula>
    </cfRule>
  </conditionalFormatting>
  <conditionalFormatting sqref="C273:T277">
    <cfRule type="expression" dxfId="453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52" priority="2051">
      <formula>V278&lt;20</formula>
    </cfRule>
  </conditionalFormatting>
  <conditionalFormatting sqref="C292:T313">
    <cfRule type="expression" dxfId="451" priority="46">
      <formula>V292&lt;30</formula>
    </cfRule>
  </conditionalFormatting>
  <conditionalFormatting sqref="C314:T314 C315:L315 C316:T316 C317:L317 C318:T318 C319:L319 C320:T320 C321:L321">
    <cfRule type="expression" dxfId="450" priority="2090">
      <formula>V314&lt;20</formula>
    </cfRule>
  </conditionalFormatting>
  <conditionalFormatting sqref="C322:T322 C323:P323 C324:T324 C325:P325 C326:T326 C327:P327">
    <cfRule type="expression" dxfId="449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48" priority="110">
      <formula>V328&lt;5</formula>
    </cfRule>
  </conditionalFormatting>
  <conditionalFormatting sqref="C350:T350 C352:T352">
    <cfRule type="expression" dxfId="447" priority="142">
      <formula>BX350="경고"</formula>
    </cfRule>
  </conditionalFormatting>
  <conditionalFormatting sqref="C351:T351">
    <cfRule type="expression" dxfId="446" priority="84">
      <formula>BF351="증가"</formula>
    </cfRule>
    <cfRule type="expression" dxfId="445" priority="85">
      <formula>BX351="경고"</formula>
    </cfRule>
  </conditionalFormatting>
  <conditionalFormatting sqref="C352:T352 C350:T350">
    <cfRule type="expression" dxfId="444" priority="141">
      <formula>BF350="증가"</formula>
    </cfRule>
  </conditionalFormatting>
  <conditionalFormatting sqref="C353:T353">
    <cfRule type="expression" dxfId="443" priority="76">
      <formula>BF353="증가"</formula>
    </cfRule>
    <cfRule type="expression" dxfId="442" priority="77">
      <formula>BX353="경고"</formula>
    </cfRule>
  </conditionalFormatting>
  <conditionalFormatting sqref="C354:T354">
    <cfRule type="expression" dxfId="441" priority="137">
      <formula>BF354="증가"</formula>
    </cfRule>
    <cfRule type="expression" dxfId="440" priority="138">
      <formula>BX354="경고"</formula>
    </cfRule>
  </conditionalFormatting>
  <conditionalFormatting sqref="C355:T355">
    <cfRule type="expression" dxfId="439" priority="73">
      <formula>BX355="경고"</formula>
    </cfRule>
    <cfRule type="expression" dxfId="438" priority="72">
      <formula>BF355="증가"</formula>
    </cfRule>
  </conditionalFormatting>
  <conditionalFormatting sqref="C356:T356">
    <cfRule type="expression" dxfId="437" priority="133">
      <formula>BF356="증가"</formula>
    </cfRule>
    <cfRule type="expression" dxfId="436" priority="134">
      <formula>BX356="경고"</formula>
    </cfRule>
  </conditionalFormatting>
  <conditionalFormatting sqref="C357:T381">
    <cfRule type="expression" dxfId="435" priority="2">
      <formula>BX357="경고"</formula>
    </cfRule>
    <cfRule type="expression" dxfId="434" priority="1">
      <formula>BF357="증가"</formula>
    </cfRule>
  </conditionalFormatting>
  <conditionalFormatting sqref="C358:T381">
    <cfRule type="expression" dxfId="433" priority="3">
      <formula>V358&lt;30</formula>
    </cfRule>
  </conditionalFormatting>
  <conditionalFormatting sqref="D6:T6">
    <cfRule type="expression" dxfId="432" priority="2396">
      <formula>W6&lt;30</formula>
    </cfRule>
    <cfRule type="expression" dxfId="431" priority="2395">
      <formula>BY6="경고"</formula>
    </cfRule>
    <cfRule type="expression" dxfId="430" priority="2394">
      <formula>BG6="증가"</formula>
    </cfRule>
  </conditionalFormatting>
  <conditionalFormatting sqref="E91">
    <cfRule type="expression" dxfId="429" priority="34">
      <formula>X91&lt;30</formula>
    </cfRule>
  </conditionalFormatting>
  <conditionalFormatting sqref="E96:E101">
    <cfRule type="expression" dxfId="428" priority="1094">
      <formula>X96&lt;20</formula>
    </cfRule>
  </conditionalFormatting>
  <conditionalFormatting sqref="E96:E106">
    <cfRule type="expression" dxfId="427" priority="1084">
      <formula>BZ96="경고"</formula>
    </cfRule>
    <cfRule type="expression" dxfId="426" priority="1083">
      <formula>BH96="증가"</formula>
    </cfRule>
  </conditionalFormatting>
  <conditionalFormatting sqref="E114:E116">
    <cfRule type="expression" dxfId="425" priority="1159">
      <formula>BZ114="경고"</formula>
    </cfRule>
    <cfRule type="expression" dxfId="424" priority="1158">
      <formula>BH114="증가"</formula>
    </cfRule>
  </conditionalFormatting>
  <conditionalFormatting sqref="E116:E118">
    <cfRule type="expression" dxfId="423" priority="1174">
      <formula>BZ116="경고"</formula>
    </cfRule>
    <cfRule type="expression" dxfId="422" priority="1173">
      <formula>BH116="증가"</formula>
    </cfRule>
  </conditionalFormatting>
  <conditionalFormatting sqref="E118:E120">
    <cfRule type="expression" dxfId="421" priority="1188">
      <formula>BH118="증가"</formula>
    </cfRule>
    <cfRule type="expression" dxfId="420" priority="1189">
      <formula>BZ118="경고"</formula>
    </cfRule>
  </conditionalFormatting>
  <conditionalFormatting sqref="E120:E122">
    <cfRule type="expression" dxfId="419" priority="1204">
      <formula>BZ120="경고"</formula>
    </cfRule>
    <cfRule type="expression" dxfId="418" priority="1203">
      <formula>BH120="증가"</formula>
    </cfRule>
  </conditionalFormatting>
  <conditionalFormatting sqref="E122:E124">
    <cfRule type="expression" dxfId="417" priority="1219">
      <formula>BZ122="경고"</formula>
    </cfRule>
    <cfRule type="expression" dxfId="416" priority="1218">
      <formula>BH122="증가"</formula>
    </cfRule>
  </conditionalFormatting>
  <conditionalFormatting sqref="E124:E126">
    <cfRule type="expression" dxfId="415" priority="1234">
      <formula>BZ124="경고"</formula>
    </cfRule>
    <cfRule type="expression" dxfId="414" priority="1233">
      <formula>BH124="증가"</formula>
    </cfRule>
  </conditionalFormatting>
  <conditionalFormatting sqref="E126:E128">
    <cfRule type="expression" dxfId="413" priority="1249">
      <formula>BZ126="경고"</formula>
    </cfRule>
    <cfRule type="expression" dxfId="412" priority="1248">
      <formula>BH126="증가"</formula>
    </cfRule>
  </conditionalFormatting>
  <conditionalFormatting sqref="E128:E130">
    <cfRule type="expression" dxfId="411" priority="1264">
      <formula>BZ128="경고"</formula>
    </cfRule>
    <cfRule type="expression" dxfId="410" priority="1263">
      <formula>BH128="증가"</formula>
    </cfRule>
  </conditionalFormatting>
  <conditionalFormatting sqref="E132">
    <cfRule type="expression" dxfId="409" priority="1296">
      <formula>BH132="증가"</formula>
    </cfRule>
    <cfRule type="expression" dxfId="408" priority="1297">
      <formula>BZ132="경고"</formula>
    </cfRule>
  </conditionalFormatting>
  <conditionalFormatting sqref="E134">
    <cfRule type="expression" dxfId="407" priority="1282">
      <formula>BZ134="경고"</formula>
    </cfRule>
    <cfRule type="expression" dxfId="406" priority="1281">
      <formula>BH134="증가"</formula>
    </cfRule>
  </conditionalFormatting>
  <conditionalFormatting sqref="E136">
    <cfRule type="expression" dxfId="405" priority="1266">
      <formula>BH136="증가"</formula>
    </cfRule>
    <cfRule type="expression" dxfId="404" priority="1267">
      <formula>BZ136="경고"</formula>
    </cfRule>
  </conditionalFormatting>
  <conditionalFormatting sqref="E155">
    <cfRule type="expression" dxfId="403" priority="2044">
      <formula>BZ155="경고"</formula>
    </cfRule>
    <cfRule type="expression" dxfId="402" priority="2043">
      <formula>BH155="증가"</formula>
    </cfRule>
  </conditionalFormatting>
  <conditionalFormatting sqref="E157">
    <cfRule type="expression" dxfId="401" priority="2032">
      <formula>BZ157="경고"</formula>
    </cfRule>
    <cfRule type="expression" dxfId="400" priority="2031">
      <formula>BH157="증가"</formula>
    </cfRule>
  </conditionalFormatting>
  <conditionalFormatting sqref="E159">
    <cfRule type="expression" dxfId="399" priority="2019">
      <formula>BH159="증가"</formula>
    </cfRule>
    <cfRule type="expression" dxfId="398" priority="2020">
      <formula>BZ159="경고"</formula>
    </cfRule>
  </conditionalFormatting>
  <conditionalFormatting sqref="E161">
    <cfRule type="expression" dxfId="397" priority="2007">
      <formula>BH161="증가"</formula>
    </cfRule>
    <cfRule type="expression" dxfId="396" priority="2008">
      <formula>BZ161="경고"</formula>
    </cfRule>
  </conditionalFormatting>
  <conditionalFormatting sqref="E163">
    <cfRule type="expression" dxfId="395" priority="1995">
      <formula>BH163="증가"</formula>
    </cfRule>
    <cfRule type="expression" dxfId="394" priority="1996">
      <formula>BZ163="경고"</formula>
    </cfRule>
  </conditionalFormatting>
  <conditionalFormatting sqref="E334:E336">
    <cfRule type="expression" dxfId="393" priority="116">
      <formula>BZ334="경고"</formula>
    </cfRule>
    <cfRule type="expression" dxfId="392" priority="115">
      <formula>BH334="증가"</formula>
    </cfRule>
  </conditionalFormatting>
  <conditionalFormatting sqref="E336:E338">
    <cfRule type="expression" dxfId="391" priority="117">
      <formula>BH336="증가"</formula>
    </cfRule>
    <cfRule type="expression" dxfId="390" priority="118">
      <formula>BZ336="경고"</formula>
    </cfRule>
  </conditionalFormatting>
  <conditionalFormatting sqref="E338:E340">
    <cfRule type="expression" dxfId="389" priority="119">
      <formula>BH338="증가"</formula>
    </cfRule>
    <cfRule type="expression" dxfId="388" priority="120">
      <formula>BZ338="경고"</formula>
    </cfRule>
  </conditionalFormatting>
  <conditionalFormatting sqref="E340:E342">
    <cfRule type="expression" dxfId="387" priority="121">
      <formula>BH340="증가"</formula>
    </cfRule>
    <cfRule type="expression" dxfId="386" priority="122">
      <formula>BZ340="경고"</formula>
    </cfRule>
  </conditionalFormatting>
  <conditionalFormatting sqref="E342:E344">
    <cfRule type="expression" dxfId="385" priority="124">
      <formula>BZ342="경고"</formula>
    </cfRule>
    <cfRule type="expression" dxfId="384" priority="123">
      <formula>BH342="증가"</formula>
    </cfRule>
  </conditionalFormatting>
  <conditionalFormatting sqref="E344:E346">
    <cfRule type="expression" dxfId="383" priority="126">
      <formula>BZ344="경고"</formula>
    </cfRule>
    <cfRule type="expression" dxfId="382" priority="125">
      <formula>BH344="증가"</formula>
    </cfRule>
  </conditionalFormatting>
  <conditionalFormatting sqref="E346:E348">
    <cfRule type="expression" dxfId="381" priority="128">
      <formula>BZ346="경고"</formula>
    </cfRule>
    <cfRule type="expression" dxfId="380" priority="127">
      <formula>BH346="증가"</formula>
    </cfRule>
  </conditionalFormatting>
  <conditionalFormatting sqref="E348:E350">
    <cfRule type="expression" dxfId="379" priority="129">
      <formula>BH348="증가"</formula>
    </cfRule>
    <cfRule type="expression" dxfId="378" priority="130">
      <formula>BZ348="경고"</formula>
    </cfRule>
  </conditionalFormatting>
  <conditionalFormatting sqref="E352">
    <cfRule type="expression" dxfId="377" priority="139">
      <formula>BH352="증가"</formula>
    </cfRule>
    <cfRule type="expression" dxfId="376" priority="140">
      <formula>BZ352="경고"</formula>
    </cfRule>
  </conditionalFormatting>
  <conditionalFormatting sqref="E354">
    <cfRule type="expression" dxfId="375" priority="135">
      <formula>BH354="증가"</formula>
    </cfRule>
    <cfRule type="expression" dxfId="374" priority="136">
      <formula>BZ354="경고"</formula>
    </cfRule>
  </conditionalFormatting>
  <conditionalFormatting sqref="E356">
    <cfRule type="expression" dxfId="373" priority="131">
      <formula>BH356="증가"</formula>
    </cfRule>
    <cfRule type="expression" dxfId="372" priority="132">
      <formula>BZ356="경고"</formula>
    </cfRule>
  </conditionalFormatting>
  <conditionalFormatting sqref="E114:T114">
    <cfRule type="expression" dxfId="371" priority="1147">
      <formula>BZ114="경고"</formula>
    </cfRule>
    <cfRule type="expression" dxfId="370" priority="1146">
      <formula>BH114="증가"</formula>
    </cfRule>
  </conditionalFormatting>
  <conditionalFormatting sqref="E334:T334">
    <cfRule type="expression" dxfId="369" priority="112">
      <formula>BZ334="경고"</formula>
    </cfRule>
    <cfRule type="expression" dxfId="368" priority="111">
      <formula>BH334="증가"</formula>
    </cfRule>
  </conditionalFormatting>
  <conditionalFormatting sqref="F103:N103">
    <cfRule type="expression" dxfId="367" priority="637">
      <formula>Y103&lt;30</formula>
    </cfRule>
  </conditionalFormatting>
  <conditionalFormatting sqref="F105:N105">
    <cfRule type="expression" dxfId="366" priority="624">
      <formula>Y105&lt;30</formula>
    </cfRule>
  </conditionalFormatting>
  <conditionalFormatting sqref="F96:T96 C97:F97 F98:T98 C99:F99 F100:T100 F101">
    <cfRule type="expression" dxfId="365" priority="1964">
      <formula>V96&lt;30</formula>
    </cfRule>
  </conditionalFormatting>
  <conditionalFormatting sqref="F96:T96 F98:T98 F100:T100 F102:T102 F104:T104 F106:T106">
    <cfRule type="expression" dxfId="364" priority="1962">
      <formula>BI96="증가"</formula>
    </cfRule>
    <cfRule type="expression" dxfId="363" priority="1963">
      <formula>CA96="경고"</formula>
    </cfRule>
  </conditionalFormatting>
  <conditionalFormatting sqref="F102:T102 F104:T104 F106:T106">
    <cfRule type="expression" dxfId="362" priority="1826">
      <formula>Y102&lt;30</formula>
    </cfRule>
  </conditionalFormatting>
  <conditionalFormatting sqref="F115:T129">
    <cfRule type="expression" dxfId="361" priority="504">
      <formula>CA115="경고"</formula>
    </cfRule>
    <cfRule type="expression" dxfId="360" priority="503">
      <formula>BI115="증가"</formula>
    </cfRule>
  </conditionalFormatting>
  <conditionalFormatting sqref="F150:T150 C151:D151 F151 F152:T152 C153:D153 F153">
    <cfRule type="expression" dxfId="359" priority="2069">
      <formula>V150&lt;20</formula>
    </cfRule>
  </conditionalFormatting>
  <conditionalFormatting sqref="F150:T150">
    <cfRule type="expression" dxfId="358" priority="1510">
      <formula>CA150="경고"</formula>
    </cfRule>
    <cfRule type="expression" dxfId="357" priority="1509">
      <formula>BI150="증가"</formula>
    </cfRule>
  </conditionalFormatting>
  <conditionalFormatting sqref="F335:T349">
    <cfRule type="expression" dxfId="356" priority="81">
      <formula>CA335="경고"</formula>
    </cfRule>
    <cfRule type="expression" dxfId="355" priority="80">
      <formula>BI335="증가"</formula>
    </cfRule>
  </conditionalFormatting>
  <conditionalFormatting sqref="G91">
    <cfRule type="expression" dxfId="354" priority="33">
      <formula>Z91&lt;30</formula>
    </cfRule>
  </conditionalFormatting>
  <conditionalFormatting sqref="G97">
    <cfRule type="expression" dxfId="353" priority="1853">
      <formula>Z97&lt;20</formula>
    </cfRule>
  </conditionalFormatting>
  <conditionalFormatting sqref="G99">
    <cfRule type="expression" dxfId="352" priority="1850">
      <formula>Z99&lt;20</formula>
    </cfRule>
  </conditionalFormatting>
  <conditionalFormatting sqref="G101">
    <cfRule type="expression" dxfId="351" priority="1847">
      <formula>Z101&lt;20</formula>
    </cfRule>
  </conditionalFormatting>
  <conditionalFormatting sqref="G155">
    <cfRule type="expression" dxfId="350" priority="2040">
      <formula>BJ155="증가"</formula>
    </cfRule>
    <cfRule type="expression" dxfId="349" priority="2041">
      <formula>CB155="경고"</formula>
    </cfRule>
  </conditionalFormatting>
  <conditionalFormatting sqref="G157">
    <cfRule type="expression" dxfId="348" priority="2028">
      <formula>BJ157="증가"</formula>
    </cfRule>
    <cfRule type="expression" dxfId="347" priority="2029">
      <formula>CB157="경고"</formula>
    </cfRule>
  </conditionalFormatting>
  <conditionalFormatting sqref="G159">
    <cfRule type="expression" dxfId="346" priority="2016">
      <formula>BJ159="증가"</formula>
    </cfRule>
    <cfRule type="expression" dxfId="345" priority="2017">
      <formula>CB159="경고"</formula>
    </cfRule>
  </conditionalFormatting>
  <conditionalFormatting sqref="G161">
    <cfRule type="expression" dxfId="344" priority="2004">
      <formula>BJ161="증가"</formula>
    </cfRule>
    <cfRule type="expression" dxfId="343" priority="2005">
      <formula>CB161="경고"</formula>
    </cfRule>
  </conditionalFormatting>
  <conditionalFormatting sqref="G163">
    <cfRule type="expression" dxfId="342" priority="1992">
      <formula>BJ163="증가"</formula>
    </cfRule>
    <cfRule type="expression" dxfId="341" priority="1993">
      <formula>CB163="경고"</formula>
    </cfRule>
  </conditionalFormatting>
  <conditionalFormatting sqref="H97:N97">
    <cfRule type="expression" dxfId="340" priority="676">
      <formula>AA97&lt;30</formula>
    </cfRule>
  </conditionalFormatting>
  <conditionalFormatting sqref="H99:N99">
    <cfRule type="expression" dxfId="339" priority="663">
      <formula>AA99&lt;30</formula>
    </cfRule>
  </conditionalFormatting>
  <conditionalFormatting sqref="H101:N101">
    <cfRule type="expression" dxfId="338" priority="650">
      <formula>AA101&lt;30</formula>
    </cfRule>
  </conditionalFormatting>
  <conditionalFormatting sqref="H151:T151">
    <cfRule type="expression" dxfId="337" priority="419">
      <formula>BK151="증가"</formula>
    </cfRule>
    <cfRule type="expression" dxfId="336" priority="420">
      <formula>CC151="경고"</formula>
    </cfRule>
    <cfRule type="expression" dxfId="335" priority="421">
      <formula>AA151&lt;20</formula>
    </cfRule>
  </conditionalFormatting>
  <conditionalFormatting sqref="H153:T153">
    <cfRule type="expression" dxfId="334" priority="417">
      <formula>CC153="경고"</formula>
    </cfRule>
    <cfRule type="expression" dxfId="333" priority="418">
      <formula>AA153&lt;20</formula>
    </cfRule>
    <cfRule type="expression" dxfId="332" priority="416">
      <formula>BK153="증가"</formula>
    </cfRule>
  </conditionalFormatting>
  <conditionalFormatting sqref="K107:N107">
    <cfRule type="expression" dxfId="331" priority="611">
      <formula>AD107&lt;30</formula>
    </cfRule>
  </conditionalFormatting>
  <conditionalFormatting sqref="K97:T97">
    <cfRule type="expression" dxfId="330" priority="677">
      <formula>BN97="증가"</formula>
    </cfRule>
    <cfRule type="expression" dxfId="329" priority="678">
      <formula>CF97="경고"</formula>
    </cfRule>
  </conditionalFormatting>
  <conditionalFormatting sqref="K99:T99">
    <cfRule type="expression" dxfId="328" priority="665">
      <formula>CF99="경고"</formula>
    </cfRule>
    <cfRule type="expression" dxfId="327" priority="664">
      <formula>BN99="증가"</formula>
    </cfRule>
  </conditionalFormatting>
  <conditionalFormatting sqref="K101:T101">
    <cfRule type="expression" dxfId="326" priority="652">
      <formula>CF101="경고"</formula>
    </cfRule>
    <cfRule type="expression" dxfId="325" priority="651">
      <formula>BN101="증가"</formula>
    </cfRule>
  </conditionalFormatting>
  <conditionalFormatting sqref="K103:T103">
    <cfRule type="expression" dxfId="324" priority="639">
      <formula>CF103="경고"</formula>
    </cfRule>
    <cfRule type="expression" dxfId="323" priority="638">
      <formula>BN103="증가"</formula>
    </cfRule>
  </conditionalFormatting>
  <conditionalFormatting sqref="K105:T105">
    <cfRule type="expression" dxfId="322" priority="626">
      <formula>CF105="경고"</formula>
    </cfRule>
    <cfRule type="expression" dxfId="321" priority="625">
      <formula>BN105="증가"</formula>
    </cfRule>
  </conditionalFormatting>
  <conditionalFormatting sqref="M289:T289">
    <cfRule type="expression" dxfId="320" priority="220">
      <formula>AF289&lt;30</formula>
    </cfRule>
  </conditionalFormatting>
  <conditionalFormatting sqref="M291:T291">
    <cfRule type="expression" dxfId="319" priority="214">
      <formula>AF291&lt;30</formula>
    </cfRule>
  </conditionalFormatting>
  <conditionalFormatting sqref="M315:T315">
    <cfRule type="expression" dxfId="318" priority="172">
      <formula>AF315&lt;30</formula>
    </cfRule>
  </conditionalFormatting>
  <conditionalFormatting sqref="M317:T317">
    <cfRule type="expression" dxfId="317" priority="166">
      <formula>AF317&lt;30</formula>
    </cfRule>
  </conditionalFormatting>
  <conditionalFormatting sqref="M319:T319">
    <cfRule type="expression" dxfId="316" priority="154">
      <formula>AF319&lt;30</formula>
    </cfRule>
  </conditionalFormatting>
  <conditionalFormatting sqref="M321:T321">
    <cfRule type="expression" dxfId="315" priority="160">
      <formula>AF321&lt;30</formula>
    </cfRule>
  </conditionalFormatting>
  <conditionalFormatting sqref="O97">
    <cfRule type="expression" dxfId="314" priority="1835">
      <formula>AH97&lt;20</formula>
    </cfRule>
  </conditionalFormatting>
  <conditionalFormatting sqref="O99">
    <cfRule type="expression" dxfId="313" priority="675">
      <formula>AH99&lt;20</formula>
    </cfRule>
  </conditionalFormatting>
  <conditionalFormatting sqref="O101">
    <cfRule type="expression" dxfId="312" priority="662">
      <formula>AH101&lt;20</formula>
    </cfRule>
  </conditionalFormatting>
  <conditionalFormatting sqref="O103">
    <cfRule type="expression" dxfId="311" priority="649">
      <formula>AH103&lt;20</formula>
    </cfRule>
  </conditionalFormatting>
  <conditionalFormatting sqref="O105">
    <cfRule type="expression" dxfId="310" priority="636">
      <formula>AH105&lt;20</formula>
    </cfRule>
  </conditionalFormatting>
  <conditionalFormatting sqref="O107">
    <cfRule type="expression" dxfId="309" priority="623">
      <formula>AH107&lt;20</formula>
    </cfRule>
  </conditionalFormatting>
  <conditionalFormatting sqref="O109">
    <cfRule type="expression" dxfId="308" priority="610">
      <formula>AH109&lt;20</formula>
    </cfRule>
  </conditionalFormatting>
  <conditionalFormatting sqref="O111">
    <cfRule type="expression" dxfId="307" priority="601">
      <formula>AH111&lt;20</formula>
    </cfRule>
  </conditionalFormatting>
  <conditionalFormatting sqref="O113">
    <cfRule type="expression" dxfId="306" priority="592">
      <formula>AH113&lt;20</formula>
    </cfRule>
  </conditionalFormatting>
  <conditionalFormatting sqref="O115">
    <cfRule type="expression" dxfId="305" priority="583">
      <formula>AH115&lt;20</formula>
    </cfRule>
  </conditionalFormatting>
  <conditionalFormatting sqref="O117">
    <cfRule type="expression" dxfId="304" priority="574">
      <formula>AH117&lt;20</formula>
    </cfRule>
  </conditionalFormatting>
  <conditionalFormatting sqref="O119">
    <cfRule type="expression" dxfId="303" priority="565">
      <formula>AH119&lt;20</formula>
    </cfRule>
  </conditionalFormatting>
  <conditionalFormatting sqref="O121">
    <cfRule type="expression" dxfId="302" priority="556">
      <formula>AH121&lt;20</formula>
    </cfRule>
  </conditionalFormatting>
  <conditionalFormatting sqref="O123">
    <cfRule type="expression" dxfId="301" priority="511">
      <formula>AH123&lt;20</formula>
    </cfRule>
  </conditionalFormatting>
  <conditionalFormatting sqref="O125">
    <cfRule type="expression" dxfId="300" priority="547">
      <formula>AH125&lt;20</formula>
    </cfRule>
  </conditionalFormatting>
  <conditionalFormatting sqref="O127">
    <cfRule type="expression" dxfId="299" priority="538">
      <formula>AH127&lt;20</formula>
    </cfRule>
  </conditionalFormatting>
  <conditionalFormatting sqref="O129">
    <cfRule type="expression" dxfId="298" priority="529">
      <formula>AH129&lt;20</formula>
    </cfRule>
  </conditionalFormatting>
  <conditionalFormatting sqref="O131">
    <cfRule type="expression" dxfId="297" priority="520">
      <formula>AH131&lt;20</formula>
    </cfRule>
  </conditionalFormatting>
  <conditionalFormatting sqref="O133">
    <cfRule type="expression" dxfId="296" priority="502">
      <formula>AH133&lt;20</formula>
    </cfRule>
  </conditionalFormatting>
  <conditionalFormatting sqref="O135">
    <cfRule type="expression" dxfId="295" priority="493">
      <formula>AH135&lt;20</formula>
    </cfRule>
  </conditionalFormatting>
  <conditionalFormatting sqref="O137">
    <cfRule type="expression" dxfId="294" priority="484">
      <formula>AH137&lt;20</formula>
    </cfRule>
  </conditionalFormatting>
  <conditionalFormatting sqref="O139">
    <cfRule type="expression" dxfId="293" priority="466">
      <formula>AH139&lt;20</formula>
    </cfRule>
  </conditionalFormatting>
  <conditionalFormatting sqref="O141">
    <cfRule type="expression" dxfId="292" priority="475">
      <formula>AH141&lt;20</formula>
    </cfRule>
  </conditionalFormatting>
  <conditionalFormatting sqref="O143">
    <cfRule type="expression" dxfId="291" priority="457">
      <formula>AH143&lt;20</formula>
    </cfRule>
  </conditionalFormatting>
  <conditionalFormatting sqref="O145">
    <cfRule type="expression" dxfId="290" priority="448">
      <formula>AH145&lt;20</formula>
    </cfRule>
  </conditionalFormatting>
  <conditionalFormatting sqref="O147">
    <cfRule type="expression" dxfId="289" priority="439">
      <formula>AH147&lt;20</formula>
    </cfRule>
  </conditionalFormatting>
  <conditionalFormatting sqref="O149">
    <cfRule type="expression" dxfId="288" priority="430">
      <formula>AH149&lt;20</formula>
    </cfRule>
  </conditionalFormatting>
  <conditionalFormatting sqref="O329">
    <cfRule type="expression" dxfId="287" priority="109">
      <formula>AH329&lt;20</formula>
    </cfRule>
  </conditionalFormatting>
  <conditionalFormatting sqref="O331">
    <cfRule type="expression" dxfId="286" priority="107">
      <formula>AH331&lt;20</formula>
    </cfRule>
  </conditionalFormatting>
  <conditionalFormatting sqref="O333">
    <cfRule type="expression" dxfId="285" priority="105">
      <formula>AH333&lt;20</formula>
    </cfRule>
  </conditionalFormatting>
  <conditionalFormatting sqref="O335">
    <cfRule type="expression" dxfId="284" priority="101">
      <formula>AH335&lt;20</formula>
    </cfRule>
  </conditionalFormatting>
  <conditionalFormatting sqref="O337">
    <cfRule type="expression" dxfId="283" priority="99">
      <formula>AH337&lt;20</formula>
    </cfRule>
  </conditionalFormatting>
  <conditionalFormatting sqref="O339">
    <cfRule type="expression" dxfId="282" priority="97">
      <formula>AH339&lt;20</formula>
    </cfRule>
  </conditionalFormatting>
  <conditionalFormatting sqref="O341">
    <cfRule type="expression" dxfId="281" priority="95">
      <formula>AH341&lt;20</formula>
    </cfRule>
  </conditionalFormatting>
  <conditionalFormatting sqref="O343">
    <cfRule type="expression" dxfId="280" priority="83">
      <formula>AH343&lt;20</formula>
    </cfRule>
  </conditionalFormatting>
  <conditionalFormatting sqref="O345">
    <cfRule type="expression" dxfId="279" priority="93">
      <formula>AH345&lt;20</formula>
    </cfRule>
  </conditionalFormatting>
  <conditionalFormatting sqref="O347">
    <cfRule type="expression" dxfId="278" priority="91">
      <formula>AH347&lt;20</formula>
    </cfRule>
  </conditionalFormatting>
  <conditionalFormatting sqref="O349">
    <cfRule type="expression" dxfId="277" priority="89">
      <formula>AH349&lt;20</formula>
    </cfRule>
  </conditionalFormatting>
  <conditionalFormatting sqref="O351">
    <cfRule type="expression" dxfId="276" priority="87">
      <formula>AH351&lt;20</formula>
    </cfRule>
  </conditionalFormatting>
  <conditionalFormatting sqref="O353">
    <cfRule type="expression" dxfId="275" priority="79">
      <formula>AH353&lt;20</formula>
    </cfRule>
  </conditionalFormatting>
  <conditionalFormatting sqref="O355">
    <cfRule type="expression" dxfId="274" priority="75">
      <formula>AH355&lt;20</formula>
    </cfRule>
  </conditionalFormatting>
  <conditionalFormatting sqref="O357">
    <cfRule type="expression" dxfId="273" priority="71">
      <formula>AH357&lt;20</formula>
    </cfRule>
  </conditionalFormatting>
  <conditionalFormatting sqref="O155:T155">
    <cfRule type="expression" dxfId="272" priority="410">
      <formula>BR155="증가"</formula>
    </cfRule>
    <cfRule type="expression" dxfId="271" priority="411">
      <formula>CJ155="경고"</formula>
    </cfRule>
  </conditionalFormatting>
  <conditionalFormatting sqref="O157:T157">
    <cfRule type="expression" dxfId="270" priority="404">
      <formula>BR157="증가"</formula>
    </cfRule>
    <cfRule type="expression" dxfId="269" priority="405">
      <formula>CJ157="경고"</formula>
    </cfRule>
  </conditionalFormatting>
  <conditionalFormatting sqref="O159:T159">
    <cfRule type="expression" dxfId="268" priority="398">
      <formula>BR159="증가"</formula>
    </cfRule>
    <cfRule type="expression" dxfId="267" priority="399">
      <formula>CJ159="경고"</formula>
    </cfRule>
  </conditionalFormatting>
  <conditionalFormatting sqref="O161:T161">
    <cfRule type="expression" dxfId="266" priority="392">
      <formula>BR161="증가"</formula>
    </cfRule>
    <cfRule type="expression" dxfId="265" priority="393">
      <formula>CJ161="경고"</formula>
    </cfRule>
  </conditionalFormatting>
  <conditionalFormatting sqref="O163:T163">
    <cfRule type="expression" dxfId="264" priority="386">
      <formula>BR163="증가"</formula>
    </cfRule>
    <cfRule type="expression" dxfId="263" priority="387">
      <formula>CJ163="경고"</formula>
    </cfRule>
  </conditionalFormatting>
  <conditionalFormatting sqref="P97:T97">
    <cfRule type="expression" dxfId="262" priority="682">
      <formula>AI97&lt;30</formula>
    </cfRule>
  </conditionalFormatting>
  <conditionalFormatting sqref="P99:T99">
    <cfRule type="expression" dxfId="261" priority="669">
      <formula>AI99&lt;30</formula>
    </cfRule>
  </conditionalFormatting>
  <conditionalFormatting sqref="P101:T101">
    <cfRule type="expression" dxfId="260" priority="656">
      <formula>AI101&lt;30</formula>
    </cfRule>
  </conditionalFormatting>
  <conditionalFormatting sqref="P103:T103">
    <cfRule type="expression" dxfId="259" priority="643">
      <formula>AI103&lt;30</formula>
    </cfRule>
  </conditionalFormatting>
  <conditionalFormatting sqref="P105:T105">
    <cfRule type="expression" dxfId="258" priority="630">
      <formula>AI105&lt;30</formula>
    </cfRule>
  </conditionalFormatting>
  <conditionalFormatting sqref="P107:T107">
    <cfRule type="expression" dxfId="257" priority="617">
      <formula>AI107&lt;30</formula>
    </cfRule>
  </conditionalFormatting>
  <conditionalFormatting sqref="P109:T109">
    <cfRule type="expression" dxfId="256" priority="604">
      <formula>AI109&lt;30</formula>
    </cfRule>
  </conditionalFormatting>
  <conditionalFormatting sqref="P111:T111">
    <cfRule type="expression" dxfId="255" priority="595">
      <formula>AI111&lt;30</formula>
    </cfRule>
  </conditionalFormatting>
  <conditionalFormatting sqref="P113:T113">
    <cfRule type="expression" dxfId="254" priority="586">
      <formula>AI113&lt;30</formula>
    </cfRule>
  </conditionalFormatting>
  <conditionalFormatting sqref="P115:T115">
    <cfRule type="expression" dxfId="253" priority="577">
      <formula>AI115&lt;30</formula>
    </cfRule>
  </conditionalFormatting>
  <conditionalFormatting sqref="P117:T117">
    <cfRule type="expression" dxfId="252" priority="568">
      <formula>AI117&lt;30</formula>
    </cfRule>
  </conditionalFormatting>
  <conditionalFormatting sqref="P119:T119">
    <cfRule type="expression" dxfId="251" priority="559">
      <formula>AI119&lt;30</formula>
    </cfRule>
  </conditionalFormatting>
  <conditionalFormatting sqref="P121:T121">
    <cfRule type="expression" dxfId="250" priority="550">
      <formula>AI121&lt;30</formula>
    </cfRule>
  </conditionalFormatting>
  <conditionalFormatting sqref="P123:T123">
    <cfRule type="expression" dxfId="249" priority="505">
      <formula>AI123&lt;30</formula>
    </cfRule>
  </conditionalFormatting>
  <conditionalFormatting sqref="P125:T125">
    <cfRule type="expression" dxfId="248" priority="541">
      <formula>AI125&lt;30</formula>
    </cfRule>
  </conditionalFormatting>
  <conditionalFormatting sqref="P127:T127">
    <cfRule type="expression" dxfId="247" priority="532">
      <formula>AI127&lt;30</formula>
    </cfRule>
  </conditionalFormatting>
  <conditionalFormatting sqref="P129:T129">
    <cfRule type="expression" dxfId="246" priority="523">
      <formula>AI129&lt;30</formula>
    </cfRule>
  </conditionalFormatting>
  <conditionalFormatting sqref="P131:T131">
    <cfRule type="expression" dxfId="245" priority="514">
      <formula>AI131&lt;30</formula>
    </cfRule>
  </conditionalFormatting>
  <conditionalFormatting sqref="P133:T133">
    <cfRule type="expression" dxfId="244" priority="496">
      <formula>AI133&lt;30</formula>
    </cfRule>
  </conditionalFormatting>
  <conditionalFormatting sqref="P135:T135">
    <cfRule type="expression" dxfId="243" priority="487">
      <formula>AI135&lt;30</formula>
    </cfRule>
  </conditionalFormatting>
  <conditionalFormatting sqref="P137:T137">
    <cfRule type="expression" dxfId="242" priority="478">
      <formula>AI137&lt;30</formula>
    </cfRule>
  </conditionalFormatting>
  <conditionalFormatting sqref="P139:T139">
    <cfRule type="expression" dxfId="241" priority="460">
      <formula>AI139&lt;30</formula>
    </cfRule>
  </conditionalFormatting>
  <conditionalFormatting sqref="P141:T141">
    <cfRule type="expression" dxfId="240" priority="469">
      <formula>AI141&lt;30</formula>
    </cfRule>
  </conditionalFormatting>
  <conditionalFormatting sqref="P143:T143">
    <cfRule type="expression" dxfId="239" priority="451">
      <formula>AI143&lt;30</formula>
    </cfRule>
  </conditionalFormatting>
  <conditionalFormatting sqref="P145:T145">
    <cfRule type="expression" dxfId="238" priority="442">
      <formula>AI145&lt;30</formula>
    </cfRule>
  </conditionalFormatting>
  <conditionalFormatting sqref="P147:T147">
    <cfRule type="expression" dxfId="237" priority="433">
      <formula>AI147&lt;30</formula>
    </cfRule>
  </conditionalFormatting>
  <conditionalFormatting sqref="P149:T149">
    <cfRule type="expression" dxfId="236" priority="424">
      <formula>AI149&lt;30</formula>
    </cfRule>
  </conditionalFormatting>
  <conditionalFormatting sqref="P329:T329">
    <cfRule type="expression" dxfId="235" priority="108">
      <formula>AI329&lt;30</formula>
    </cfRule>
  </conditionalFormatting>
  <conditionalFormatting sqref="P331:T331">
    <cfRule type="expression" dxfId="234" priority="106">
      <formula>AI331&lt;30</formula>
    </cfRule>
  </conditionalFormatting>
  <conditionalFormatting sqref="P333:T333">
    <cfRule type="expression" dxfId="233" priority="104">
      <formula>AI333&lt;30</formula>
    </cfRule>
  </conditionalFormatting>
  <conditionalFormatting sqref="P335:T335">
    <cfRule type="expression" dxfId="232" priority="100">
      <formula>AI335&lt;30</formula>
    </cfRule>
  </conditionalFormatting>
  <conditionalFormatting sqref="P337:T337">
    <cfRule type="expression" dxfId="231" priority="98">
      <formula>AI337&lt;30</formula>
    </cfRule>
  </conditionalFormatting>
  <conditionalFormatting sqref="P339:T339">
    <cfRule type="expression" dxfId="230" priority="96">
      <formula>AI339&lt;30</formula>
    </cfRule>
  </conditionalFormatting>
  <conditionalFormatting sqref="P341:T341">
    <cfRule type="expression" dxfId="229" priority="94">
      <formula>AI341&lt;30</formula>
    </cfRule>
  </conditionalFormatting>
  <conditionalFormatting sqref="P343:T343">
    <cfRule type="expression" dxfId="228" priority="82">
      <formula>AI343&lt;30</formula>
    </cfRule>
  </conditionalFormatting>
  <conditionalFormatting sqref="P345:T345">
    <cfRule type="expression" dxfId="227" priority="92">
      <formula>AI345&lt;30</formula>
    </cfRule>
  </conditionalFormatting>
  <conditionalFormatting sqref="P347:T347">
    <cfRule type="expression" dxfId="226" priority="90">
      <formula>AI347&lt;30</formula>
    </cfRule>
  </conditionalFormatting>
  <conditionalFormatting sqref="P349:T349">
    <cfRule type="expression" dxfId="225" priority="88">
      <formula>AI349&lt;30</formula>
    </cfRule>
  </conditionalFormatting>
  <conditionalFormatting sqref="P351:T351">
    <cfRule type="expression" dxfId="224" priority="86">
      <formula>AI351&lt;30</formula>
    </cfRule>
  </conditionalFormatting>
  <conditionalFormatting sqref="P353:T353">
    <cfRule type="expression" dxfId="223" priority="78">
      <formula>AI353&lt;30</formula>
    </cfRule>
  </conditionalFormatting>
  <conditionalFormatting sqref="P355:T355">
    <cfRule type="expression" dxfId="222" priority="74">
      <formula>AI355&lt;30</formula>
    </cfRule>
  </conditionalFormatting>
  <conditionalFormatting sqref="P357:T357">
    <cfRule type="expression" dxfId="221" priority="70">
      <formula>AI357&lt;30</formula>
    </cfRule>
  </conditionalFormatting>
  <conditionalFormatting sqref="Q9:T9">
    <cfRule type="expression" dxfId="220" priority="688">
      <formula>AJ9&lt;30</formula>
    </cfRule>
    <cfRule type="expression" dxfId="219" priority="689">
      <formula>AJ9&lt;20</formula>
    </cfRule>
  </conditionalFormatting>
  <conditionalFormatting sqref="Q11:T11">
    <cfRule type="expression" dxfId="218" priority="690">
      <formula>AJ11&lt;30</formula>
    </cfRule>
    <cfRule type="expression" dxfId="217" priority="691">
      <formula>AJ11&lt;20</formula>
    </cfRule>
  </conditionalFormatting>
  <conditionalFormatting sqref="Q13:T13">
    <cfRule type="expression" dxfId="216" priority="692">
      <formula>AJ13&lt;30</formula>
    </cfRule>
    <cfRule type="expression" dxfId="215" priority="693">
      <formula>AJ13&lt;20</formula>
    </cfRule>
  </conditionalFormatting>
  <conditionalFormatting sqref="Q15:T15">
    <cfRule type="expression" dxfId="214" priority="694">
      <formula>AJ15&lt;30</formula>
    </cfRule>
    <cfRule type="expression" dxfId="213" priority="695">
      <formula>AJ15&lt;20</formula>
    </cfRule>
  </conditionalFormatting>
  <conditionalFormatting sqref="Q17:T17">
    <cfRule type="expression" dxfId="212" priority="696">
      <formula>AJ17&lt;30</formula>
    </cfRule>
    <cfRule type="expression" dxfId="211" priority="697">
      <formula>AJ17&lt;20</formula>
    </cfRule>
  </conditionalFormatting>
  <conditionalFormatting sqref="Q19:T19">
    <cfRule type="expression" dxfId="210" priority="698">
      <formula>AJ19&lt;30</formula>
    </cfRule>
    <cfRule type="expression" dxfId="209" priority="699">
      <formula>AJ19&lt;20</formula>
    </cfRule>
  </conditionalFormatting>
  <conditionalFormatting sqref="Q21:T21">
    <cfRule type="expression" dxfId="208" priority="700">
      <formula>AJ21&lt;30</formula>
    </cfRule>
    <cfRule type="expression" dxfId="207" priority="701">
      <formula>AJ21&lt;20</formula>
    </cfRule>
  </conditionalFormatting>
  <conditionalFormatting sqref="Q23:T23">
    <cfRule type="expression" dxfId="206" priority="703">
      <formula>AJ23&lt;20</formula>
    </cfRule>
    <cfRule type="expression" dxfId="205" priority="702">
      <formula>AJ23&lt;30</formula>
    </cfRule>
  </conditionalFormatting>
  <conditionalFormatting sqref="Q25:T25">
    <cfRule type="expression" dxfId="204" priority="704">
      <formula>AJ25&lt;30</formula>
    </cfRule>
  </conditionalFormatting>
  <conditionalFormatting sqref="Q81:T81">
    <cfRule type="expression" dxfId="203" priority="687">
      <formula>AJ81&lt;30</formula>
    </cfRule>
  </conditionalFormatting>
  <conditionalFormatting sqref="Q83:T83">
    <cfRule type="expression" dxfId="202" priority="686">
      <formula>AJ83&lt;30</formula>
    </cfRule>
  </conditionalFormatting>
  <conditionalFormatting sqref="Q87:T87">
    <cfRule type="expression" dxfId="201" priority="39">
      <formula>AJ87&lt;30</formula>
    </cfRule>
  </conditionalFormatting>
  <conditionalFormatting sqref="Q89:T89">
    <cfRule type="expression" dxfId="200" priority="38">
      <formula>AJ89&lt;30</formula>
    </cfRule>
  </conditionalFormatting>
  <conditionalFormatting sqref="Q91:T91">
    <cfRule type="expression" dxfId="199" priority="32">
      <formula>AJ91&lt;30</formula>
    </cfRule>
  </conditionalFormatting>
  <conditionalFormatting sqref="Q167:T167">
    <cfRule type="expression" dxfId="198" priority="385">
      <formula>AJ167&lt;30</formula>
    </cfRule>
  </conditionalFormatting>
  <conditionalFormatting sqref="Q183:T183">
    <cfRule type="expression" dxfId="197" priority="382">
      <formula>AJ183&lt;30</formula>
    </cfRule>
  </conditionalFormatting>
  <conditionalFormatting sqref="Q185:T185">
    <cfRule type="expression" dxfId="196" priority="379">
      <formula>AJ185&lt;30</formula>
    </cfRule>
  </conditionalFormatting>
  <conditionalFormatting sqref="Q187:T187">
    <cfRule type="expression" dxfId="195" priority="376">
      <formula>AJ187&lt;30</formula>
    </cfRule>
  </conditionalFormatting>
  <conditionalFormatting sqref="Q189:T189">
    <cfRule type="expression" dxfId="194" priority="373">
      <formula>AJ189&lt;30</formula>
    </cfRule>
  </conditionalFormatting>
  <conditionalFormatting sqref="Q191:T191">
    <cfRule type="expression" dxfId="193" priority="370">
      <formula>AJ191&lt;30</formula>
    </cfRule>
  </conditionalFormatting>
  <conditionalFormatting sqref="Q193:T193">
    <cfRule type="expression" dxfId="192" priority="367">
      <formula>AJ193&lt;30</formula>
    </cfRule>
  </conditionalFormatting>
  <conditionalFormatting sqref="Q195:T195">
    <cfRule type="expression" dxfId="191" priority="364">
      <formula>AJ195&lt;30</formula>
    </cfRule>
  </conditionalFormatting>
  <conditionalFormatting sqref="Q197:T197">
    <cfRule type="expression" dxfId="190" priority="361">
      <formula>AJ197&lt;30</formula>
    </cfRule>
  </conditionalFormatting>
  <conditionalFormatting sqref="Q199:T199">
    <cfRule type="expression" dxfId="189" priority="358">
      <formula>AJ199&lt;30</formula>
    </cfRule>
  </conditionalFormatting>
  <conditionalFormatting sqref="Q201:T201">
    <cfRule type="expression" dxfId="188" priority="355">
      <formula>AJ201&lt;30</formula>
    </cfRule>
  </conditionalFormatting>
  <conditionalFormatting sqref="Q203:T203">
    <cfRule type="expression" dxfId="187" priority="352">
      <formula>AJ203&lt;30</formula>
    </cfRule>
  </conditionalFormatting>
  <conditionalFormatting sqref="Q205:T205">
    <cfRule type="expression" dxfId="186" priority="349">
      <formula>AJ205&lt;30</formula>
    </cfRule>
  </conditionalFormatting>
  <conditionalFormatting sqref="Q207:T207">
    <cfRule type="expression" dxfId="185" priority="346">
      <formula>AJ207&lt;30</formula>
    </cfRule>
  </conditionalFormatting>
  <conditionalFormatting sqref="Q209:T209">
    <cfRule type="expression" dxfId="184" priority="343">
      <formula>AJ209&lt;30</formula>
    </cfRule>
  </conditionalFormatting>
  <conditionalFormatting sqref="Q211:T211">
    <cfRule type="expression" dxfId="183" priority="340">
      <formula>AJ211&lt;30</formula>
    </cfRule>
  </conditionalFormatting>
  <conditionalFormatting sqref="Q213:T213">
    <cfRule type="expression" dxfId="182" priority="337">
      <formula>AJ213&lt;30</formula>
    </cfRule>
  </conditionalFormatting>
  <conditionalFormatting sqref="Q215:T215">
    <cfRule type="expression" dxfId="181" priority="334">
      <formula>AJ215&lt;30</formula>
    </cfRule>
  </conditionalFormatting>
  <conditionalFormatting sqref="Q217:T217">
    <cfRule type="expression" dxfId="180" priority="331">
      <formula>AJ217&lt;30</formula>
    </cfRule>
  </conditionalFormatting>
  <conditionalFormatting sqref="Q219:T219">
    <cfRule type="expression" dxfId="179" priority="328">
      <formula>AJ219&lt;30</formula>
    </cfRule>
  </conditionalFormatting>
  <conditionalFormatting sqref="Q221:T221">
    <cfRule type="expression" dxfId="178" priority="325">
      <formula>AJ221&lt;30</formula>
    </cfRule>
  </conditionalFormatting>
  <conditionalFormatting sqref="Q223:T223">
    <cfRule type="expression" dxfId="177" priority="322">
      <formula>AJ223&lt;30</formula>
    </cfRule>
  </conditionalFormatting>
  <conditionalFormatting sqref="Q225:T225">
    <cfRule type="expression" dxfId="176" priority="319">
      <formula>AJ225&lt;30</formula>
    </cfRule>
  </conditionalFormatting>
  <conditionalFormatting sqref="Q227:T227">
    <cfRule type="expression" dxfId="175" priority="316">
      <formula>AJ227&lt;30</formula>
    </cfRule>
  </conditionalFormatting>
  <conditionalFormatting sqref="Q229:T229">
    <cfRule type="expression" dxfId="174" priority="313">
      <formula>AJ229&lt;30</formula>
    </cfRule>
  </conditionalFormatting>
  <conditionalFormatting sqref="Q231:T231">
    <cfRule type="expression" dxfId="173" priority="310">
      <formula>AJ231&lt;30</formula>
    </cfRule>
  </conditionalFormatting>
  <conditionalFormatting sqref="Q233:T233">
    <cfRule type="expression" dxfId="172" priority="307">
      <formula>AJ233&lt;30</formula>
    </cfRule>
  </conditionalFormatting>
  <conditionalFormatting sqref="Q235:T235">
    <cfRule type="expression" dxfId="171" priority="304">
      <formula>AJ235&lt;30</formula>
    </cfRule>
  </conditionalFormatting>
  <conditionalFormatting sqref="Q237:T237">
    <cfRule type="expression" dxfId="170" priority="301">
      <formula>AJ237&lt;30</formula>
    </cfRule>
  </conditionalFormatting>
  <conditionalFormatting sqref="Q239:T239">
    <cfRule type="expression" dxfId="169" priority="298">
      <formula>AJ239&lt;30</formula>
    </cfRule>
  </conditionalFormatting>
  <conditionalFormatting sqref="Q241:T241">
    <cfRule type="expression" dxfId="168" priority="295">
      <formula>AJ241&lt;30</formula>
    </cfRule>
  </conditionalFormatting>
  <conditionalFormatting sqref="Q243:T243">
    <cfRule type="expression" dxfId="167" priority="292">
      <formula>AJ243&lt;30</formula>
    </cfRule>
  </conditionalFormatting>
  <conditionalFormatting sqref="Q245:T245">
    <cfRule type="expression" dxfId="166" priority="289">
      <formula>AJ245&lt;30</formula>
    </cfRule>
  </conditionalFormatting>
  <conditionalFormatting sqref="Q247:T247">
    <cfRule type="expression" dxfId="165" priority="286">
      <formula>AJ247&lt;30</formula>
    </cfRule>
  </conditionalFormatting>
  <conditionalFormatting sqref="Q249:T249">
    <cfRule type="expression" dxfId="164" priority="283">
      <formula>AJ249&lt;30</formula>
    </cfRule>
  </conditionalFormatting>
  <conditionalFormatting sqref="Q251:T251">
    <cfRule type="expression" dxfId="163" priority="280">
      <formula>AJ251&lt;30</formula>
    </cfRule>
  </conditionalFormatting>
  <conditionalFormatting sqref="Q253:T253">
    <cfRule type="expression" dxfId="162" priority="277">
      <formula>AJ253&lt;30</formula>
    </cfRule>
  </conditionalFormatting>
  <conditionalFormatting sqref="Q255:T255">
    <cfRule type="expression" dxfId="161" priority="274">
      <formula>AJ255&lt;30</formula>
    </cfRule>
  </conditionalFormatting>
  <conditionalFormatting sqref="Q257:T257">
    <cfRule type="expression" dxfId="160" priority="271">
      <formula>AJ257&lt;30</formula>
    </cfRule>
  </conditionalFormatting>
  <conditionalFormatting sqref="Q259:T259">
    <cfRule type="expression" dxfId="159" priority="268">
      <formula>AJ259&lt;30</formula>
    </cfRule>
  </conditionalFormatting>
  <conditionalFormatting sqref="Q261:T261">
    <cfRule type="expression" dxfId="158" priority="265">
      <formula>AJ261&lt;30</formula>
    </cfRule>
  </conditionalFormatting>
  <conditionalFormatting sqref="Q263:T263">
    <cfRule type="expression" dxfId="157" priority="262">
      <formula>AJ263&lt;30</formula>
    </cfRule>
  </conditionalFormatting>
  <conditionalFormatting sqref="Q265:T265">
    <cfRule type="expression" dxfId="156" priority="259">
      <formula>AJ265&lt;30</formula>
    </cfRule>
  </conditionalFormatting>
  <conditionalFormatting sqref="Q267:T267">
    <cfRule type="expression" dxfId="155" priority="256">
      <formula>AJ267&lt;30</formula>
    </cfRule>
  </conditionalFormatting>
  <conditionalFormatting sqref="Q269:T269">
    <cfRule type="expression" dxfId="154" priority="253">
      <formula>AJ269&lt;30</formula>
    </cfRule>
  </conditionalFormatting>
  <conditionalFormatting sqref="Q271:T271">
    <cfRule type="expression" dxfId="153" priority="250">
      <formula>AJ271&lt;30</formula>
    </cfRule>
  </conditionalFormatting>
  <conditionalFormatting sqref="Q279:T279">
    <cfRule type="expression" dxfId="152" priority="238">
      <formula>AJ279&lt;30</formula>
    </cfRule>
  </conditionalFormatting>
  <conditionalFormatting sqref="Q281:T281">
    <cfRule type="expression" dxfId="151" priority="235">
      <formula>AJ281&lt;30</formula>
    </cfRule>
  </conditionalFormatting>
  <conditionalFormatting sqref="Q283:T283">
    <cfRule type="expression" dxfId="150" priority="232">
      <formula>AJ283&lt;30</formula>
    </cfRule>
  </conditionalFormatting>
  <conditionalFormatting sqref="Q285:T285">
    <cfRule type="expression" dxfId="149" priority="229">
      <formula>AJ285&lt;30</formula>
    </cfRule>
  </conditionalFormatting>
  <conditionalFormatting sqref="Q287:T287">
    <cfRule type="expression" dxfId="148" priority="226">
      <formula>AJ287&lt;30</formula>
    </cfRule>
  </conditionalFormatting>
  <conditionalFormatting sqref="Q323:T323">
    <cfRule type="expression" dxfId="147" priority="147">
      <formula>AJ323&lt;30</formula>
    </cfRule>
  </conditionalFormatting>
  <conditionalFormatting sqref="Q325:T325">
    <cfRule type="expression" dxfId="146" priority="146">
      <formula>AJ325&lt;30</formula>
    </cfRule>
  </conditionalFormatting>
  <conditionalFormatting sqref="Q327:T327">
    <cfRule type="expression" dxfId="145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topLeftCell="A2"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7290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7287</v>
      </c>
      <c r="C3" s="531" t="s">
        <v>3174</v>
      </c>
      <c r="D3" s="531" t="s">
        <v>7288</v>
      </c>
      <c r="E3" s="531" t="s">
        <v>9192</v>
      </c>
      <c r="F3" s="531" t="s">
        <v>7289</v>
      </c>
      <c r="G3" s="531" t="s">
        <v>7420</v>
      </c>
      <c r="H3" s="531" t="s">
        <v>7961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7307</v>
      </c>
      <c r="C4" s="528" t="s">
        <v>7965</v>
      </c>
      <c r="D4" s="517">
        <v>8000</v>
      </c>
      <c r="E4" s="517">
        <f t="shared" ref="E4:E28" si="0">SUM(I4:AJ4)</f>
        <v>13739</v>
      </c>
      <c r="F4" s="519">
        <f t="shared" ref="F4:F28" si="1">E4/D4</f>
        <v>1.7173750000000001</v>
      </c>
      <c r="G4" s="532">
        <f t="shared" ref="G4:G28" si="2">COUNTIF(I4:AJ4,"=0")</f>
        <v>0</v>
      </c>
      <c r="H4" s="533" t="s">
        <v>7963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669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529" t="s">
        <v>7307</v>
      </c>
      <c r="C5" s="528" t="s">
        <v>7964</v>
      </c>
      <c r="D5" s="517">
        <v>8000</v>
      </c>
      <c r="E5" s="517">
        <f t="shared" si="0"/>
        <v>13470</v>
      </c>
      <c r="F5" s="519">
        <f t="shared" si="1"/>
        <v>1.6837500000000001</v>
      </c>
      <c r="G5" s="532">
        <f t="shared" si="2"/>
        <v>3</v>
      </c>
      <c r="H5" s="533" t="s">
        <v>7963</v>
      </c>
      <c r="I5" s="512">
        <f>SUMIF(샘플창고재고!$E:$E,"S284-00.00", 샘플창고재고!$Q:$Q)+SUMIF(샘플창고재고!$E:$E,"S262-00.00", 샘플창고재고!$Q:$Q)</f>
        <v>402</v>
      </c>
      <c r="J5" s="520"/>
      <c r="K5" s="520"/>
      <c r="L5" s="511">
        <f>SUMIF(샘플창고재고!$E:$E,"S284-01.00", 샘플창고재고!$Q:$Q)+SUMIF(샘플창고재고!$E:$E,"S262-01.00", 샘플창고재고!$Q:$Q)</f>
        <v>453</v>
      </c>
      <c r="M5" s="511">
        <f>SUMIF(샘플창고재고!$E:$E,"S284-01.25", 샘플창고재고!$Q:$Q)+SUMIF(샘플창고재고!$E:$E,"S262-01.25", 샘플창고재고!$Q:$Q)</f>
        <v>801</v>
      </c>
      <c r="N5" s="511">
        <f>SUMIF(샘플창고재고!$E:$E,"S284-01.50", 샘플창고재고!$Q:$Q)+SUMIF(샘플창고재고!$E:$E,"S262-01.50", 샘플창고재고!$Q:$Q)</f>
        <v>897</v>
      </c>
      <c r="O5" s="510">
        <f>SUMIF(샘플창고재고!$E:$E,"S284-01.75", 샘플창고재고!$Q:$Q)+SUMIF(샘플창고재고!$E:$E,"S262-01.75", 샘플창고재고!$Q:$Q)</f>
        <v>408</v>
      </c>
      <c r="P5" s="511">
        <f>SUMIF(샘플창고재고!$E:$E,"S284-02.00", 샘플창고재고!$Q:$Q)+SUMIF(샘플창고재고!$E:$E,"S262-02.00", 샘플창고재고!$Q:$Q)</f>
        <v>840</v>
      </c>
      <c r="Q5" s="511">
        <f>SUMIF(샘플창고재고!$E:$E,"S284-02.25", 샘플창고재고!$Q:$Q)+SUMIF(샘플창고재고!$E:$E,"S262-02.25", 샘플창고재고!$Q:$Q)</f>
        <v>247</v>
      </c>
      <c r="R5" s="511">
        <f>SUMIF(샘플창고재고!$E:$E,"S284-02.50", 샘플창고재고!$Q:$Q)+SUMIF(샘플창고재고!$E:$E,"S262-02.50", 샘플창고재고!$Q:$Q)</f>
        <v>1018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190</v>
      </c>
      <c r="V5" s="511">
        <f>SUMIF(샘플창고재고!$E:$E,"S284-03.50", 샘플창고재고!$Q:$Q)+SUMIF(샘플창고재고!$E:$E,"S262-03.50", 샘플창고재고!$Q:$Q)</f>
        <v>533</v>
      </c>
      <c r="W5" s="511">
        <f>SUMIF(샘플창고재고!$E:$E,"S284-03.75", 샘플창고재고!$Q:$Q)+SUMIF(샘플창고재고!$E:$E,"S262-03.75", 샘플창고재고!$Q:$Q)</f>
        <v>54</v>
      </c>
      <c r="X5" s="511">
        <f>SUMIF(샘플창고재고!$E:$E,"S284-04.00", 샘플창고재고!$Q:$Q)+SUMIF(샘플창고재고!$E:$E,"S262-04.00", 샘플창고재고!$Q:$Q)</f>
        <v>962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721</v>
      </c>
      <c r="AA5" s="511">
        <f>SUMIF(샘플창고재고!$E:$E,"S284-04.75", 샘플창고재고!$Q:$Q)+SUMIF(샘플창고재고!$E:$E,"S262-04.75", 샘플창고재고!$Q:$Q)</f>
        <v>920</v>
      </c>
      <c r="AB5" s="511">
        <f>SUMIF(샘플창고재고!$E:$E,"S284-05.00", 샘플창고재고!$Q:$Q)+SUMIF(샘플창고재고!$E:$E,"S262-05.00", 샘플창고재고!$Q:$Q)</f>
        <v>626</v>
      </c>
      <c r="AC5" s="520"/>
      <c r="AD5" s="511">
        <f>SUMIF(샘플창고재고!$E:$E,"S284-05.50", 샘플창고재고!$Q:$Q)+SUMIF(샘플창고재고!$E:$E,"S262-05.50", 샘플창고재고!$Q:$Q)</f>
        <v>570</v>
      </c>
      <c r="AE5" s="520"/>
      <c r="AF5" s="511">
        <f>SUMIF(샘플창고재고!$E:$E,"S284-06.00", 샘플창고재고!$Q:$Q)+SUMIF(샘플창고재고!$E:$E,"S262-06.00", 샘플창고재고!$Q:$Q)</f>
        <v>790</v>
      </c>
      <c r="AG5" s="511">
        <f>SUMIF(샘플창고재고!$E:$E,"S284-06.50", 샘플창고재고!$Q:$Q)+SUMIF(샘플창고재고!$E:$E,"S262-06.50", 샘플창고재고!$Q:$Q)</f>
        <v>820</v>
      </c>
      <c r="AH5" s="511">
        <f>SUMIF(샘플창고재고!$E:$E,"S284-07.00", 샘플창고재고!$Q:$Q)+SUMIF(샘플창고재고!$E:$E,"S262-07.00", 샘플창고재고!$Q:$Q)</f>
        <v>740</v>
      </c>
      <c r="AI5" s="511">
        <f>SUMIF(샘플창고재고!$E:$E,"S284-07.50", 샘플창고재고!$Q:$Q)+SUMIF(샘플창고재고!$E:$E,"S262-07.50", 샘플창고재고!$Q:$Q)</f>
        <v>760</v>
      </c>
      <c r="AJ5" s="513">
        <f>SUMIF(샘플창고재고!$E:$E,"S284-08.00", 샘플창고재고!$Q:$Q)+SUMIF(샘플창고재고!$E:$E,"S262-08.00", 샘플창고재고!$Q:$Q)</f>
        <v>718</v>
      </c>
    </row>
    <row r="6" spans="2:36">
      <c r="B6" s="529" t="s">
        <v>7307</v>
      </c>
      <c r="C6" s="528" t="s">
        <v>7966</v>
      </c>
      <c r="D6" s="517">
        <v>8000</v>
      </c>
      <c r="E6" s="517">
        <f t="shared" si="0"/>
        <v>21664</v>
      </c>
      <c r="F6" s="519">
        <f t="shared" si="1"/>
        <v>2.7080000000000002</v>
      </c>
      <c r="G6" s="532">
        <f t="shared" si="2"/>
        <v>0</v>
      </c>
      <c r="H6" s="533" t="s">
        <v>7963</v>
      </c>
      <c r="I6" s="512">
        <f>SUMIF(샘플창고재고!$E:$E,"S283-00.00", 샘플창고재고!$Q:$Q)+SUMIF(샘플창고재고!$E:$E,"S261-00.00", 샘플창고재고!$Q:$Q)</f>
        <v>632</v>
      </c>
      <c r="J6" s="520"/>
      <c r="K6" s="520"/>
      <c r="L6" s="511">
        <f>SUMIF(샘플창고재고!$E:$E,"S283-01.00", 샘플창고재고!$Q:$Q)+SUMIF(샘플창고재고!$E:$E,"S261-01.00", 샘플창고재고!$Q:$Q)</f>
        <v>1039</v>
      </c>
      <c r="M6" s="511">
        <f>SUMIF(샘플창고재고!$E:$E,"S283-01.25", 샘플창고재고!$Q:$Q)+SUMIF(샘플창고재고!$E:$E,"S261-01.25", 샘플창고재고!$Q:$Q)</f>
        <v>877</v>
      </c>
      <c r="N6" s="511">
        <f>SUMIF(샘플창고재고!$E:$E,"S283-01.50", 샘플창고재고!$Q:$Q)+SUMIF(샘플창고재고!$E:$E,"S261-01.50", 샘플창고재고!$Q:$Q)</f>
        <v>663</v>
      </c>
      <c r="O6" s="510">
        <f>SUMIF(샘플창고재고!$E:$E,"S283-01.75", 샘플창고재고!$Q:$Q)+SUMIF(샘플창고재고!$E:$E,"S261-01.75", 샘플창고재고!$Q:$Q)</f>
        <v>914</v>
      </c>
      <c r="P6" s="511">
        <f>SUMIF(샘플창고재고!$E:$E,"S283-02.00", 샘플창고재고!$Q:$Q)+SUMIF(샘플창고재고!$E:$E,"S261-02.00", 샘플창고재고!$Q:$Q)</f>
        <v>1068</v>
      </c>
      <c r="Q6" s="511">
        <f>SUMIF(샘플창고재고!$E:$E,"S283-02.25", 샘플창고재고!$Q:$Q)+SUMIF(샘플창고재고!$E:$E,"S261-02.25", 샘플창고재고!$Q:$Q)</f>
        <v>995</v>
      </c>
      <c r="R6" s="511">
        <f>SUMIF(샘플창고재고!$E:$E,"S283-02.50", 샘플창고재고!$Q:$Q)+SUMIF(샘플창고재고!$E:$E,"S261-02.50", 샘플창고재고!$Q:$Q)</f>
        <v>725</v>
      </c>
      <c r="S6" s="511">
        <f>SUMIF(샘플창고재고!$E:$E,"S283-02.75", 샘플창고재고!$Q:$Q)+SUMIF(샘플창고재고!$E:$E,"S261-02.75", 샘플창고재고!$Q:$Q)</f>
        <v>1011</v>
      </c>
      <c r="T6" s="511">
        <f>SUMIF(샘플창고재고!$E:$E,"S283-03.00", 샘플창고재고!$Q:$Q)+SUMIF(샘플창고재고!$E:$E,"S261-03.00", 샘플창고재고!$Q:$Q)</f>
        <v>989</v>
      </c>
      <c r="U6" s="511">
        <f>SUMIF(샘플창고재고!$E:$E,"S283-03.25", 샘플창고재고!$Q:$Q)+SUMIF(샘플창고재고!$E:$E,"S261-03.25", 샘플창고재고!$Q:$Q)</f>
        <v>988</v>
      </c>
      <c r="V6" s="511">
        <f>SUMIF(샘플창고재고!$E:$E,"S283-03.50", 샘플창고재고!$Q:$Q)+SUMIF(샘플창고재고!$E:$E,"S261-03.50", 샘플창고재고!$Q:$Q)</f>
        <v>918</v>
      </c>
      <c r="W6" s="511">
        <f>SUMIF(샘플창고재고!$E:$E,"S283-03.75", 샘플창고재고!$Q:$Q)+SUMIF(샘플창고재고!$E:$E,"S261-03.75", 샘플창고재고!$Q:$Q)</f>
        <v>936</v>
      </c>
      <c r="X6" s="511">
        <f>SUMIF(샘플창고재고!$E:$E,"S283-04.00", 샘플창고재고!$Q:$Q)+SUMIF(샘플창고재고!$E:$E,"S261-04.00", 샘플창고재고!$Q:$Q)</f>
        <v>896</v>
      </c>
      <c r="Y6" s="511">
        <f>SUMIF(샘플창고재고!$E:$E,"S283-04.25", 샘플창고재고!$Q:$Q)+SUMIF(샘플창고재고!$E:$E,"S261-04.25", 샘플창고재고!$Q:$Q)</f>
        <v>910</v>
      </c>
      <c r="Z6" s="511">
        <f>SUMIF(샘플창고재고!$E:$E,"S283-04.50", 샘플창고재고!$Q:$Q)+SUMIF(샘플창고재고!$E:$E,"S261-04.50", 샘플창고재고!$Q:$Q)</f>
        <v>795</v>
      </c>
      <c r="AA6" s="511">
        <f>SUMIF(샘플창고재고!$E:$E,"S283-04.75", 샘플창고재고!$Q:$Q)+SUMIF(샘플창고재고!$E:$E,"S261-04.75", 샘플창고재고!$Q:$Q)</f>
        <v>984</v>
      </c>
      <c r="AB6" s="511">
        <f>SUMIF(샘플창고재고!$E:$E,"S283-05.00", 샘플창고재고!$Q:$Q)+SUMIF(샘플창고재고!$E:$E,"S261-05.00", 샘플창고재고!$Q:$Q)</f>
        <v>1145</v>
      </c>
      <c r="AC6" s="520"/>
      <c r="AD6" s="511">
        <f>SUMIF(샘플창고재고!$E:$E,"S283-05.50", 샘플창고재고!$Q:$Q)+SUMIF(샘플창고재고!$E:$E,"S261-05.50", 샘플창고재고!$Q:$Q)</f>
        <v>1020</v>
      </c>
      <c r="AE6" s="520"/>
      <c r="AF6" s="511">
        <f>SUMIF(샘플창고재고!$E:$E,"S283-06.00", 샘플창고재고!$Q:$Q)+SUMIF(샘플창고재고!$E:$E,"S261-06.00", 샘플창고재고!$Q:$Q)</f>
        <v>956</v>
      </c>
      <c r="AG6" s="511">
        <f>SUMIF(샘플창고재고!$E:$E,"S283-06.50", 샘플창고재고!$Q:$Q)+SUMIF(샘플창고재고!$E:$E,"S261-06.50", 샘플창고재고!$Q:$Q)</f>
        <v>414</v>
      </c>
      <c r="AH6" s="511">
        <f>SUMIF(샘플창고재고!$E:$E,"S283-07.00", 샘플창고재고!$Q:$Q)+SUMIF(샘플창고재고!$E:$E,"S261-07.00", 샘플창고재고!$Q:$Q)</f>
        <v>803</v>
      </c>
      <c r="AI6" s="511">
        <f>SUMIF(샘플창고재고!$E:$E,"S283-07.50", 샘플창고재고!$Q:$Q)+SUMIF(샘플창고재고!$E:$E,"S261-07.50", 샘플창고재고!$Q:$Q)</f>
        <v>1020</v>
      </c>
      <c r="AJ6" s="513">
        <f>SUMIF(샘플창고재고!$E:$E,"S283-08.00", 샘플창고재고!$Q:$Q)+SUMIF(샘플창고재고!$E:$E,"S261-08.00", 샘플창고재고!$Q:$Q)</f>
        <v>966</v>
      </c>
    </row>
    <row r="7" spans="2:36">
      <c r="B7" s="529" t="s">
        <v>7307</v>
      </c>
      <c r="C7" s="528" t="s">
        <v>7967</v>
      </c>
      <c r="D7" s="517">
        <v>8000</v>
      </c>
      <c r="E7" s="517">
        <f t="shared" si="0"/>
        <v>29899</v>
      </c>
      <c r="F7" s="519">
        <f t="shared" si="1"/>
        <v>3.7373750000000001</v>
      </c>
      <c r="G7" s="532">
        <f t="shared" si="2"/>
        <v>0</v>
      </c>
      <c r="H7" s="533" t="s">
        <v>7963</v>
      </c>
      <c r="I7" s="512">
        <f>SUMIF(샘플창고재고!$E:$E,"S282-00.00", 샘플창고재고!$Q:$Q)+SUMIF(샘플창고재고!$E:$E,"S260-00.00", 샘플창고재고!$Q:$Q)</f>
        <v>1830</v>
      </c>
      <c r="J7" s="520"/>
      <c r="K7" s="520"/>
      <c r="L7" s="511">
        <f>SUMIF(샘플창고재고!$E:$E,"S282-01.00", 샘플창고재고!$Q:$Q)+SUMIF(샘플창고재고!$E:$E,"S260-01.00", 샘플창고재고!$Q:$Q)</f>
        <v>1266</v>
      </c>
      <c r="M7" s="511">
        <f>SUMIF(샘플창고재고!$E:$E,"S282-01.25", 샘플창고재고!$Q:$Q)+SUMIF(샘플창고재고!$E:$E,"S260-01.25", 샘플창고재고!$Q:$Q)</f>
        <v>1074</v>
      </c>
      <c r="N7" s="511">
        <f>SUMIF(샘플창고재고!$E:$E,"S282-01.50", 샘플창고재고!$Q:$Q)+SUMIF(샘플창고재고!$E:$E,"S260-01.50", 샘플창고재고!$Q:$Q)</f>
        <v>1398</v>
      </c>
      <c r="O7" s="510">
        <f>SUMIF(샘플창고재고!$E:$E,"S282-01.75", 샘플창고재고!$Q:$Q)+SUMIF(샘플창고재고!$E:$E,"S260-01.75", 샘플창고재고!$Q:$Q)</f>
        <v>1139</v>
      </c>
      <c r="P7" s="511">
        <f>SUMIF(샘플창고재고!$E:$E,"S282-02.00", 샘플창고재고!$Q:$Q)+SUMIF(샘플창고재고!$E:$E,"S260-02.00", 샘플창고재고!$Q:$Q)</f>
        <v>730</v>
      </c>
      <c r="Q7" s="511">
        <f>SUMIF(샘플창고재고!$E:$E,"S282-02.25", 샘플창고재고!$Q:$Q)+SUMIF(샘플창고재고!$E:$E,"S260-02.25", 샘플창고재고!$Q:$Q)</f>
        <v>1404</v>
      </c>
      <c r="R7" s="511">
        <f>SUMIF(샘플창고재고!$E:$E,"S282-02.50", 샘플창고재고!$Q:$Q)+SUMIF(샘플창고재고!$E:$E,"S260-02.50", 샘플창고재고!$Q:$Q)</f>
        <v>1316</v>
      </c>
      <c r="S7" s="511">
        <f>SUMIF(샘플창고재고!$E:$E,"S282-02.75", 샘플창고재고!$Q:$Q)+SUMIF(샘플창고재고!$E:$E,"S260-02.75", 샘플창고재고!$Q:$Q)</f>
        <v>1147</v>
      </c>
      <c r="T7" s="511">
        <f>SUMIF(샘플창고재고!$E:$E,"S282-03.00", 샘플창고재고!$Q:$Q)+SUMIF(샘플창고재고!$E:$E,"S260-03.00", 샘플창고재고!$Q:$Q)</f>
        <v>1081</v>
      </c>
      <c r="U7" s="511">
        <f>SUMIF(샘플창고재고!$E:$E,"S282-03.25", 샘플창고재고!$Q:$Q)+SUMIF(샘플창고재고!$E:$E,"S260-03.25", 샘플창고재고!$Q:$Q)</f>
        <v>1163</v>
      </c>
      <c r="V7" s="511">
        <f>SUMIF(샘플창고재고!$E:$E,"S282-03.50", 샘플창고재고!$Q:$Q)+SUMIF(샘플창고재고!$E:$E,"S260-03.50", 샘플창고재고!$Q:$Q)</f>
        <v>1250</v>
      </c>
      <c r="W7" s="511">
        <f>SUMIF(샘플창고재고!$E:$E,"S282-03.75", 샘플창고재고!$Q:$Q)+SUMIF(샘플창고재고!$E:$E,"S260-03.75", 샘플창고재고!$Q:$Q)</f>
        <v>1210</v>
      </c>
      <c r="X7" s="511">
        <f>SUMIF(샘플창고재고!$E:$E,"S282-04.00", 샘플창고재고!$Q:$Q)+SUMIF(샘플창고재고!$E:$E,"S260-04.00", 샘플창고재고!$Q:$Q)</f>
        <v>1269</v>
      </c>
      <c r="Y7" s="511">
        <f>SUMIF(샘플창고재고!$E:$E,"S282-04.25", 샘플창고재고!$Q:$Q)+SUMIF(샘플창고재고!$E:$E,"S260-04.25", 샘플창고재고!$Q:$Q)</f>
        <v>1108</v>
      </c>
      <c r="Z7" s="511">
        <f>SUMIF(샘플창고재고!$E:$E,"S282-04.50", 샘플창고재고!$Q:$Q)+SUMIF(샘플창고재고!$E:$E,"S260-04.50", 샘플창고재고!$Q:$Q)</f>
        <v>1345</v>
      </c>
      <c r="AA7" s="511">
        <f>SUMIF(샘플창고재고!$E:$E,"S282-04.75", 샘플창고재고!$Q:$Q)+SUMIF(샘플창고재고!$E:$E,"S260-04.75", 샘플창고재고!$Q:$Q)</f>
        <v>1342</v>
      </c>
      <c r="AB7" s="511">
        <f>SUMIF(샘플창고재고!$E:$E,"S282-05.00", 샘플창고재고!$Q:$Q)+SUMIF(샘플창고재고!$E:$E,"S260-05.00", 샘플창고재고!$Q:$Q)</f>
        <v>1382</v>
      </c>
      <c r="AC7" s="520"/>
      <c r="AD7" s="511">
        <f>SUMIF(샘플창고재고!$E:$E,"S282-05.50", 샘플창고재고!$Q:$Q)+SUMIF(샘플창고재고!$E:$E,"S260-05.50", 샘플창고재고!$Q:$Q)</f>
        <v>1023</v>
      </c>
      <c r="AE7" s="520"/>
      <c r="AF7" s="511">
        <f>SUMIF(샘플창고재고!$E:$E,"S282-06.00", 샘플창고재고!$Q:$Q)+SUMIF(샘플창고재고!$E:$E,"S260-06.00", 샘플창고재고!$Q:$Q)</f>
        <v>1250</v>
      </c>
      <c r="AG7" s="511">
        <f>SUMIF(샘플창고재고!$E:$E,"S282-06.50", 샘플창고재고!$Q:$Q)+SUMIF(샘플창고재고!$E:$E,"S260-06.50", 샘플창고재고!$Q:$Q)</f>
        <v>1222</v>
      </c>
      <c r="AH7" s="511">
        <f>SUMIF(샘플창고재고!$E:$E,"S282-07.00", 샘플창고재고!$Q:$Q)+SUMIF(샘플창고재고!$E:$E,"S260-07.00", 샘플창고재고!$Q:$Q)</f>
        <v>1346</v>
      </c>
      <c r="AI7" s="511">
        <f>SUMIF(샘플창고재고!$E:$E,"S282-07.50", 샘플창고재고!$Q:$Q)+SUMIF(샘플창고재고!$E:$E,"S260-07.50", 샘플창고재고!$Q:$Q)</f>
        <v>1288</v>
      </c>
      <c r="AJ7" s="513">
        <f>SUMIF(샘플창고재고!$E:$E,"S282-08.00", 샘플창고재고!$Q:$Q)+SUMIF(샘플창고재고!$E:$E,"S260-08.00", 샘플창고재고!$Q:$Q)</f>
        <v>1316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7305</v>
      </c>
      <c r="C9" s="528" t="s">
        <v>8806</v>
      </c>
      <c r="D9" s="517"/>
      <c r="E9" s="517">
        <f t="shared" si="0"/>
        <v>15514</v>
      </c>
      <c r="F9" s="519"/>
      <c r="G9" s="532"/>
      <c r="H9" s="533" t="s">
        <v>7963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627</v>
      </c>
      <c r="M9" s="511">
        <f>SUMIF(샘플창고재고!$E:$E,"S296-01.25", 샘플창고재고!$Q:$Q)+SUMIF(샘플창고재고!$E:$E,"S668-01.25", 샘플창고재고!$Q:$Q)</f>
        <v>1073</v>
      </c>
      <c r="N9" s="511">
        <f>SUMIF(샘플창고재고!$E:$E,"S296-01.50", 샘플창고재고!$Q:$Q)+SUMIF(샘플창고재고!$E:$E,"S668-01.50", 샘플창고재고!$Q:$Q)</f>
        <v>669</v>
      </c>
      <c r="O9" s="510">
        <f>SUMIF(샘플창고재고!$E:$E,"S296-01.75", 샘플창고재고!$Q:$Q)+SUMIF(샘플창고재고!$E:$E,"S668-01.75", 샘플창고재고!$Q:$Q)</f>
        <v>799</v>
      </c>
      <c r="P9" s="511">
        <f>SUMIF(샘플창고재고!$E:$E,"S296-02.00", 샘플창고재고!$Q:$Q)+SUMIF(샘플창고재고!$E:$E,"S668-02.00", 샘플창고재고!$Q:$Q)</f>
        <v>920</v>
      </c>
      <c r="Q9" s="511">
        <f>SUMIF(샘플창고재고!$E:$E,"S296-02.25", 샘플창고재고!$Q:$Q)+SUMIF(샘플창고재고!$E:$E,"S668-02.25", 샘플창고재고!$Q:$Q)</f>
        <v>618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514</v>
      </c>
      <c r="T9" s="511">
        <f>SUMIF(샘플창고재고!$E:$E,"S296-03.00", 샘플창고재고!$Q:$Q)+SUMIF(샘플창고재고!$E:$E,"S668-03.00", 샘플창고재고!$Q:$Q)</f>
        <v>478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919</v>
      </c>
      <c r="W9" s="511">
        <f>SUMIF(샘플창고재고!$E:$E,"S296-03.75", 샘플창고재고!$Q:$Q)+SUMIF(샘플창고재고!$E:$E,"S668-03.75", 샘플창고재고!$Q:$Q)</f>
        <v>375</v>
      </c>
      <c r="X9" s="511">
        <f>SUMIF(샘플창고재고!$E:$E,"S296-04.00", 샘플창고재고!$Q:$Q)+SUMIF(샘플창고재고!$E:$E,"S668-04.00", 샘플창고재고!$Q:$Q)</f>
        <v>749</v>
      </c>
      <c r="Y9" s="511">
        <f>SUMIF(샘플창고재고!$E:$E,"S296-04.25", 샘플창고재고!$Q:$Q)+SUMIF(샘플창고재고!$E:$E,"S668-04.25", 샘플창고재고!$Q:$Q)</f>
        <v>492</v>
      </c>
      <c r="Z9" s="511">
        <f>SUMIF(샘플창고재고!$E:$E,"S296-04.50", 샘플창고재고!$Q:$Q)+SUMIF(샘플창고재고!$E:$E,"S668-04.50", 샘플창고재고!$Q:$Q)</f>
        <v>428</v>
      </c>
      <c r="AA9" s="511">
        <f>SUMIF(샘플창고재고!$E:$E,"S296-04.75", 샘플창고재고!$Q:$Q)+SUMIF(샘플창고재고!$E:$E,"S668-04.75", 샘플창고재고!$Q:$Q)</f>
        <v>254</v>
      </c>
      <c r="AB9" s="511">
        <f>SUMIF(샘플창고재고!$E:$E,"S296-05.00", 샘플창고재고!$Q:$Q)+SUMIF(샘플창고재고!$E:$E,"S668-05.00", 샘플창고재고!$Q:$Q)</f>
        <v>608</v>
      </c>
      <c r="AC9" s="520"/>
      <c r="AD9" s="511">
        <f>SUMIF(샘플창고재고!$E:$E,"S296-05.50", 샘플창고재고!$Q:$Q)+SUMIF(샘플창고재고!$E:$E,"S668-05.50", 샘플창고재고!$Q:$Q)</f>
        <v>836</v>
      </c>
      <c r="AE9" s="520"/>
      <c r="AF9" s="511">
        <f>SUMIF(샘플창고재고!$E:$E,"S296-06.00", 샘플창고재고!$Q:$Q)+SUMIF(샘플창고재고!$E:$E,"S668-06.00", 샘플창고재고!$Q:$Q)</f>
        <v>645</v>
      </c>
      <c r="AG9" s="511">
        <f>SUMIF(샘플창고재고!$E:$E,"S296-06.50", 샘플창고재고!$Q:$Q)+SUMIF(샘플창고재고!$E:$E,"S668-06.50", 샘플창고재고!$Q:$Q)</f>
        <v>736</v>
      </c>
      <c r="AH9" s="511">
        <f>SUMIF(샘플창고재고!$E:$E,"S296-07.00", 샘플창고재고!$Q:$Q)+SUMIF(샘플창고재고!$E:$E,"S668-07.00", 샘플창고재고!$Q:$Q)</f>
        <v>887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7299</v>
      </c>
      <c r="C10" s="536" t="s">
        <v>8805</v>
      </c>
      <c r="D10" s="517"/>
      <c r="E10" s="517">
        <f t="shared" si="0"/>
        <v>11481</v>
      </c>
      <c r="F10" s="519"/>
      <c r="G10" s="532"/>
      <c r="H10" s="533" t="s">
        <v>7963</v>
      </c>
      <c r="I10" s="512">
        <f>SUMIF(샘플창고재고!$E:$E,"S291-00.00", 샘플창고재고!$Q:$Q)+SUMIF(샘플창고재고!$E:$E,"S663-00.00", 샘플창고재고!$Q:$Q)</f>
        <v>587</v>
      </c>
      <c r="J10" s="510">
        <f>SUMIF(샘플창고재고!$E:$E,"S291-00.50", 샘플창고재고!$Q:$Q)+SUMIF(샘플창고재고!$E:$E,"S663-00.50", 샘플창고재고!$Q:$Q)</f>
        <v>738</v>
      </c>
      <c r="K10" s="510">
        <f>SUMIF(샘플창고재고!$E:$E,"S291-00.75", 샘플창고재고!$Q:$Q)+SUMIF(샘플창고재고!$E:$E,"S663-00.75", 샘플창고재고!$Q:$Q)</f>
        <v>849</v>
      </c>
      <c r="L10" s="511">
        <f>SUMIF(샘플창고재고!$E:$E,"S291-01.00", 샘플창고재고!$Q:$Q)+SUMIF(샘플창고재고!$E:$E,"S663-01.00", 샘플창고재고!$Q:$Q)</f>
        <v>413</v>
      </c>
      <c r="M10" s="511">
        <f>SUMIF(샘플창고재고!$E:$E,"S291-01.25", 샘플창고재고!$Q:$Q)+SUMIF(샘플창고재고!$E:$E,"S663-01.25", 샘플창고재고!$Q:$Q)</f>
        <v>36</v>
      </c>
      <c r="N10" s="511">
        <f>SUMIF(샘플창고재고!$E:$E,"S291-01.50", 샘플창고재고!$Q:$Q)+SUMIF(샘플창고재고!$E:$E,"S663-01.50", 샘플창고재고!$Q:$Q)</f>
        <v>599</v>
      </c>
      <c r="O10" s="510">
        <f>SUMIF(샘플창고재고!$E:$E,"S291-01.75", 샘플창고재고!$Q:$Q)+SUMIF(샘플창고재고!$E:$E,"S663-01.75", 샘플창고재고!$Q:$Q)</f>
        <v>428</v>
      </c>
      <c r="P10" s="511">
        <f>SUMIF(샘플창고재고!$E:$E,"S291-02.00", 샘플창고재고!$Q:$Q)+SUMIF(샘플창고재고!$E:$E,"S663-02.00", 샘플창고재고!$Q:$Q)</f>
        <v>385</v>
      </c>
      <c r="Q10" s="511">
        <f>SUMIF(샘플창고재고!$E:$E,"S291-02.25", 샘플창고재고!$Q:$Q)+SUMIF(샘플창고재고!$E:$E,"S663-02.25", 샘플창고재고!$Q:$Q)</f>
        <v>375</v>
      </c>
      <c r="R10" s="511">
        <f>SUMIF(샘플창고재고!$E:$E,"S291-02.50", 샘플창고재고!$Q:$Q)+SUMIF(샘플창고재고!$E:$E,"S663-02.50", 샘플창고재고!$Q:$Q)</f>
        <v>379</v>
      </c>
      <c r="S10" s="511">
        <f>SUMIF(샘플창고재고!$E:$E,"S291-02.75", 샘플창고재고!$Q:$Q)+SUMIF(샘플창고재고!$E:$E,"S663-02.75", 샘플창고재고!$Q:$Q)</f>
        <v>735</v>
      </c>
      <c r="T10" s="511">
        <f>SUMIF(샘플창고재고!$E:$E,"S291-03.00", 샘플창고재고!$Q:$Q)+SUMIF(샘플창고재고!$E:$E,"S663-03.00", 샘플창고재고!$Q:$Q)</f>
        <v>599</v>
      </c>
      <c r="U10" s="511">
        <f>SUMIF(샘플창고재고!$E:$E,"S291-03.25", 샘플창고재고!$Q:$Q)+SUMIF(샘플창고재고!$E:$E,"S663-03.25", 샘플창고재고!$Q:$Q)</f>
        <v>405</v>
      </c>
      <c r="V10" s="511">
        <f>SUMIF(샘플창고재고!$E:$E,"S291-03.50", 샘플창고재고!$Q:$Q)+SUMIF(샘플창고재고!$E:$E,"S663-03.50", 샘플창고재고!$Q:$Q)</f>
        <v>363</v>
      </c>
      <c r="W10" s="511">
        <f>SUMIF(샘플창고재고!$E:$E,"S291-03.75", 샘플창고재고!$Q:$Q)+SUMIF(샘플창고재고!$E:$E,"S663-03.75", 샘플창고재고!$Q:$Q)</f>
        <v>420</v>
      </c>
      <c r="X10" s="511">
        <f>SUMIF(샘플창고재고!$E:$E,"S291-04.00", 샘플창고재고!$Q:$Q)+SUMIF(샘플창고재고!$E:$E,"S663-04.00", 샘플창고재고!$Q:$Q)</f>
        <v>386</v>
      </c>
      <c r="Y10" s="511">
        <f>SUMIF(샘플창고재고!$E:$E,"S291-04.25", 샘플창고재고!$Q:$Q)+SUMIF(샘플창고재고!$E:$E,"S663-04.25", 샘플창고재고!$Q:$Q)</f>
        <v>46</v>
      </c>
      <c r="Z10" s="511">
        <f>SUMIF(샘플창고재고!$E:$E,"S291-04.50", 샘플창고재고!$Q:$Q)+SUMIF(샘플창고재고!$E:$E,"S663-04.50", 샘플창고재고!$Q:$Q)</f>
        <v>809</v>
      </c>
      <c r="AA10" s="511">
        <f>SUMIF(샘플창고재고!$E:$E,"S291-04.75", 샘플창고재고!$Q:$Q)+SUMIF(샘플창고재고!$E:$E,"S663-04.75", 샘플창고재고!$Q:$Q)</f>
        <v>398</v>
      </c>
      <c r="AB10" s="511">
        <f>SUMIF(샘플창고재고!$E:$E,"S291-05.00", 샘플창고재고!$Q:$Q)+SUMIF(샘플창고재고!$E:$E,"S663-05.00", 샘플창고재고!$Q:$Q)</f>
        <v>488</v>
      </c>
      <c r="AC10" s="520"/>
      <c r="AD10" s="511">
        <f>SUMIF(샘플창고재고!$E:$E,"S291-05.50", 샘플창고재고!$Q:$Q)+SUMIF(샘플창고재고!$E:$E,"S663-05.50", 샘플창고재고!$Q:$Q)</f>
        <v>73</v>
      </c>
      <c r="AE10" s="520"/>
      <c r="AF10" s="511">
        <f>SUMIF(샘플창고재고!$E:$E,"S291-06.00", 샘플창고재고!$Q:$Q)+SUMIF(샘플창고재고!$E:$E,"S663-06.00", 샘플창고재고!$Q:$Q)</f>
        <v>439</v>
      </c>
      <c r="AG10" s="511">
        <f>SUMIF(샘플창고재고!$E:$E,"S291-06.50", 샘플창고재고!$Q:$Q)+SUMIF(샘플창고재고!$E:$E,"S663-06.50", 샘플창고재고!$Q:$Q)</f>
        <v>581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855</v>
      </c>
      <c r="AJ10" s="513">
        <f>SUMIF(샘플창고재고!$E:$E,"S291-08.00", 샘플창고재고!$Q:$Q)+SUMIF(샘플창고재고!$E:$E,"S663-08.00", 샘플창고재고!$Q:$Q)</f>
        <v>95</v>
      </c>
    </row>
    <row r="11" spans="2:36" hidden="1">
      <c r="B11" s="678" t="s">
        <v>7299</v>
      </c>
      <c r="C11" s="679" t="s">
        <v>7970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7962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8"/>
      <c r="C12" s="679"/>
      <c r="D12" s="517"/>
      <c r="E12" s="517">
        <f t="shared" si="0"/>
        <v>936</v>
      </c>
      <c r="F12" s="519"/>
      <c r="G12" s="532"/>
      <c r="H12" s="533" t="s">
        <v>7963</v>
      </c>
      <c r="I12" s="511">
        <f>SUMIF(샘플창고재고!$E:$E,"S295-00.00", 샘플창고재고!$Q:$Q)</f>
        <v>267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123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53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277</v>
      </c>
      <c r="Z12" s="511">
        <f>SUMIF(샘플창고재고!$E:$E,"S295-04.50", 샘플창고재고!$Q:$Q)</f>
        <v>50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8" t="s">
        <v>7299</v>
      </c>
      <c r="C13" s="680" t="s">
        <v>7971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7962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8"/>
      <c r="C14" s="680"/>
      <c r="D14" s="517"/>
      <c r="E14" s="517">
        <f t="shared" si="0"/>
        <v>10126</v>
      </c>
      <c r="F14" s="519"/>
      <c r="G14" s="532"/>
      <c r="H14" s="533" t="s">
        <v>7963</v>
      </c>
      <c r="I14" s="511">
        <f>SUMIF(샘플창고재고!$E:$E,"S294-00.00", 샘플창고재고!$Q:$Q)</f>
        <v>553</v>
      </c>
      <c r="J14" s="510">
        <f>SUMIF(샘플창고재고!$E:$E,"S294-00.50", 샘플창고재고!$Q:$Q)</f>
        <v>537</v>
      </c>
      <c r="K14" s="510">
        <f>SUMIF(샘플창고재고!$E:$E,"S294-00.75", 샘플창고재고!$Q:$Q)</f>
        <v>437</v>
      </c>
      <c r="L14" s="511">
        <f>SUMIF(샘플창고재고!$E:$E,"S294-01.00", 샘플창고재고!$Q:$Q)</f>
        <v>504</v>
      </c>
      <c r="M14" s="511">
        <f>SUMIF(샘플창고재고!$E:$E,"S294-01.25", 샘플창고재고!$Q:$Q)</f>
        <v>411</v>
      </c>
      <c r="N14" s="511">
        <f>SUMIF(샘플창고재고!$E:$E,"S294-01.50", 샘플창고재고!$Q:$Q)</f>
        <v>440</v>
      </c>
      <c r="O14" s="510">
        <f>SUMIF(샘플창고재고!$E:$E,"S294-01.75", 샘플창고재고!$Q:$Q)</f>
        <v>404</v>
      </c>
      <c r="P14" s="511">
        <f>SUMIF(샘플창고재고!$E:$E,"S294-02.00", 샘플창고재고!$Q:$Q)</f>
        <v>250</v>
      </c>
      <c r="Q14" s="511">
        <f>SUMIF(샘플창고재고!$E:$E,"S294-02.25", 샘플창고재고!$Q:$Q)</f>
        <v>486</v>
      </c>
      <c r="R14" s="511">
        <f>SUMIF(샘플창고재고!$E:$E,"S294-02.50", 샘플창고재고!$Q:$Q)</f>
        <v>249</v>
      </c>
      <c r="S14" s="511">
        <f>SUMIF(샘플창고재고!$E:$E,"S294-02.75", 샘플창고재고!$Q:$Q)</f>
        <v>477</v>
      </c>
      <c r="T14" s="511">
        <f>SUMIF(샘플창고재고!$E:$E,"S294-03.00", 샘플창고재고!$Q:$Q)</f>
        <v>265</v>
      </c>
      <c r="U14" s="511">
        <f>SUMIF(샘플창고재고!$E:$E,"S294-03.25", 샘플창고재고!$Q:$Q)</f>
        <v>350</v>
      </c>
      <c r="V14" s="511">
        <f>SUMIF(샘플창고재고!$E:$E,"S294-03.50", 샘플창고재고!$Q:$Q)</f>
        <v>427</v>
      </c>
      <c r="W14" s="511">
        <f>SUMIF(샘플창고재고!$E:$E,"S294-03.75", 샘플창고재고!$Q:$Q)</f>
        <v>412</v>
      </c>
      <c r="X14" s="511">
        <f>SUMIF(샘플창고재고!$E:$E,"S294-04.00", 샘플창고재고!$Q:$Q)</f>
        <v>379</v>
      </c>
      <c r="Y14" s="511">
        <f>SUMIF(샘플창고재고!$E:$E,"S294-04.25", 샘플창고재고!$Q:$Q)</f>
        <v>324</v>
      </c>
      <c r="Z14" s="511">
        <f>SUMIF(샘플창고재고!$E:$E,"S294-04.50", 샘플창고재고!$Q:$Q)</f>
        <v>397</v>
      </c>
      <c r="AA14" s="511">
        <f>SUMIF(샘플창고재고!$E:$E,"S294-04.75", 샘플창고재고!$Q:$Q)</f>
        <v>288</v>
      </c>
      <c r="AB14" s="511">
        <f>SUMIF(샘플창고재고!$E:$E,"S294-05.00", 샘플창고재고!$Q:$Q)</f>
        <v>453</v>
      </c>
      <c r="AC14" s="520"/>
      <c r="AD14" s="511">
        <f>SUMIF(샘플창고재고!$E:$E,"S294-05.50", 샘플창고재고!$Q:$Q)</f>
        <v>328</v>
      </c>
      <c r="AE14" s="520"/>
      <c r="AF14" s="511">
        <f>SUMIF(샘플창고재고!$E:$E,"S294-06.00", 샘플창고재고!$Q:$Q)</f>
        <v>458</v>
      </c>
      <c r="AG14" s="511">
        <f>SUMIF(샘플창고재고!$E:$E,"S294-06.50", 샘플창고재고!$Q:$Q)</f>
        <v>292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8" t="s">
        <v>7299</v>
      </c>
      <c r="C15" s="679" t="s">
        <v>7972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7962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8"/>
      <c r="C16" s="679"/>
      <c r="D16" s="517"/>
      <c r="E16" s="517">
        <f t="shared" si="0"/>
        <v>7747</v>
      </c>
      <c r="F16" s="519"/>
      <c r="G16" s="532"/>
      <c r="H16" s="533" t="s">
        <v>7963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712</v>
      </c>
      <c r="K16" s="510">
        <f>SUMIF(샘플창고재고!$E:$E,"S293-00.75", 샘플창고재고!$Q:$Q)</f>
        <v>836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53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57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8" t="s">
        <v>7299</v>
      </c>
      <c r="C17" s="679" t="s">
        <v>7973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7962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8"/>
      <c r="C18" s="679"/>
      <c r="D18" s="517"/>
      <c r="E18" s="517">
        <f t="shared" si="0"/>
        <v>13929</v>
      </c>
      <c r="F18" s="519"/>
      <c r="G18" s="532"/>
      <c r="H18" s="533" t="s">
        <v>7963</v>
      </c>
      <c r="I18" s="511">
        <f>SUMIF(샘플창고재고!$E:$E,"S292-00.00", 샘플창고재고!$Q:$Q)+I17</f>
        <v>764</v>
      </c>
      <c r="J18" s="510">
        <f>SUMIF(샘플창고재고!$E:$E,"S292-00.50", 샘플창고재고!$Q:$Q)+J17</f>
        <v>520</v>
      </c>
      <c r="K18" s="510">
        <f>SUMIF(샘플창고재고!$E:$E,"S292-00.75", 샘플창고재고!$Q:$Q)+K17</f>
        <v>356</v>
      </c>
      <c r="L18" s="511">
        <f>SUMIF(샘플창고재고!$E:$E,"S292-01.00", 샘플창고재고!$Q:$Q)+L17</f>
        <v>370</v>
      </c>
      <c r="M18" s="511">
        <f>SUMIF(샘플창고재고!$E:$E,"S292-01.25", 샘플창고재고!$Q:$Q)+M17</f>
        <v>774</v>
      </c>
      <c r="N18" s="511">
        <f>SUMIF(샘플창고재고!$E:$E,"S292-01.50", 샘플창고재고!$Q:$Q)+N17</f>
        <v>369</v>
      </c>
      <c r="O18" s="510">
        <f>SUMIF(샘플창고재고!$E:$E,"S292-01.75", 샘플창고재고!$Q:$Q)+O17</f>
        <v>633</v>
      </c>
      <c r="P18" s="511">
        <f>SUMIF(샘플창고재고!$E:$E,"S292-02.00", 샘플창고재고!$Q:$Q)+P17</f>
        <v>1147</v>
      </c>
      <c r="Q18" s="511">
        <f>SUMIF(샘플창고재고!$E:$E,"S292-02.25", 샘플창고재고!$Q:$Q)+Q17</f>
        <v>398</v>
      </c>
      <c r="R18" s="511">
        <f>SUMIF(샘플창고재고!$E:$E,"S292-02.50", 샘플창고재고!$Q:$Q)+R17</f>
        <v>1398</v>
      </c>
      <c r="S18" s="511">
        <f>SUMIF(샘플창고재고!$E:$E,"S292-02.75", 샘플창고재고!$Q:$Q)+S17</f>
        <v>963</v>
      </c>
      <c r="T18" s="511">
        <f>SUMIF(샘플창고재고!$E:$E,"S292-03.00", 샘플창고재고!$Q:$Q)+T17</f>
        <v>981</v>
      </c>
      <c r="U18" s="511">
        <f>SUMIF(샘플창고재고!$E:$E,"S292-03.25", 샘플창고재고!$Q:$Q)+U17</f>
        <v>360</v>
      </c>
      <c r="V18" s="511">
        <f>SUMIF(샘플창고재고!$E:$E,"S292-03.50", 샘플창고재고!$Q:$Q)+V17</f>
        <v>379</v>
      </c>
      <c r="W18" s="511">
        <f>SUMIF(샘플창고재고!$E:$E,"S292-03.75", 샘플창고재고!$Q:$Q)+W17</f>
        <v>362</v>
      </c>
      <c r="X18" s="511">
        <f>SUMIF(샘플창고재고!$E:$E,"S292-04.00", 샘플창고재고!$Q:$Q)+X17</f>
        <v>332</v>
      </c>
      <c r="Y18" s="511">
        <f>SUMIF(샘플창고재고!$E:$E,"S292-04.25", 샘플창고재고!$Q:$Q)+Y17</f>
        <v>380</v>
      </c>
      <c r="Z18" s="511">
        <f>SUMIF(샘플창고재고!$E:$E,"S292-04.50", 샘플창고재고!$Q:$Q)+Z17</f>
        <v>390</v>
      </c>
      <c r="AA18" s="511">
        <f>SUMIF(샘플창고재고!$E:$E,"S292-04.75", 샘플창고재고!$Q:$Q)+AA17</f>
        <v>403</v>
      </c>
      <c r="AB18" s="511">
        <f>SUMIF(샘플창고재고!$E:$E,"S292-05.00", 샘플창고재고!$Q:$Q)+AB17</f>
        <v>365</v>
      </c>
      <c r="AC18" s="520"/>
      <c r="AD18" s="511">
        <f>SUMIF(샘플창고재고!$E:$E,"S292-05.50", 샘플창고재고!$Q:$Q)+AD17</f>
        <v>95</v>
      </c>
      <c r="AE18" s="520"/>
      <c r="AF18" s="511">
        <f>SUMIF(샘플창고재고!$E:$E,"S292-06.00", 샘플창고재고!$Q:$Q)+AF17</f>
        <v>625</v>
      </c>
      <c r="AG18" s="511">
        <f>SUMIF(샘플창고재고!$E:$E,"S292-06.50", 샘플창고재고!$Q:$Q)+AG17</f>
        <v>657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481</v>
      </c>
      <c r="AJ18" s="511">
        <f>SUMIF(샘플창고재고!$E:$E,"S292-08.00", 샘플창고재고!$Q:$Q)+AJ17</f>
        <v>115</v>
      </c>
    </row>
    <row r="19" spans="2:36">
      <c r="B19" s="678"/>
      <c r="C19" s="678"/>
      <c r="D19" s="518"/>
      <c r="E19" s="518"/>
      <c r="F19" s="518"/>
      <c r="G19" s="534"/>
      <c r="H19" s="534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7482</v>
      </c>
      <c r="C20" s="530" t="s">
        <v>7479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7963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7482</v>
      </c>
      <c r="C21" s="530" t="s">
        <v>7480</v>
      </c>
      <c r="D21" s="517">
        <v>2000</v>
      </c>
      <c r="E21" s="517">
        <f t="shared" si="0"/>
        <v>2398</v>
      </c>
      <c r="F21" s="519">
        <f t="shared" si="1"/>
        <v>1.1990000000000001</v>
      </c>
      <c r="G21" s="532">
        <f t="shared" si="2"/>
        <v>11</v>
      </c>
      <c r="H21" s="533" t="s">
        <v>7963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7482</v>
      </c>
      <c r="C22" s="530" t="s">
        <v>7481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7963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7482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7482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7482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7482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7482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7482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8"/>
      <c r="C29" s="678"/>
      <c r="D29" s="518"/>
      <c r="E29" s="518"/>
      <c r="F29" s="518"/>
      <c r="G29" s="534"/>
      <c r="H29" s="534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8" t="s">
        <v>7290</v>
      </c>
      <c r="C30" s="679" t="s">
        <v>7974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7962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8"/>
      <c r="C31" s="679"/>
      <c r="D31" s="517"/>
      <c r="E31" s="518"/>
      <c r="F31" s="519"/>
      <c r="G31" s="532"/>
      <c r="H31" s="533" t="s">
        <v>7963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8" t="s">
        <v>7290</v>
      </c>
      <c r="C32" s="679" t="s">
        <v>7975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7962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8"/>
      <c r="C33" s="679"/>
      <c r="D33" s="517"/>
      <c r="E33" s="517"/>
      <c r="F33" s="519"/>
      <c r="G33" s="532"/>
      <c r="H33" s="533" t="s">
        <v>7963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8" t="s">
        <v>7290</v>
      </c>
      <c r="C34" s="679" t="s">
        <v>7976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7962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8"/>
      <c r="C35" s="679"/>
      <c r="D35" s="517"/>
      <c r="E35" s="517">
        <f t="shared" ref="E35:E43" si="8">SUM(I35:AJ35)</f>
        <v>14628</v>
      </c>
      <c r="F35" s="519"/>
      <c r="G35" s="532"/>
      <c r="H35" s="533" t="s">
        <v>7963</v>
      </c>
      <c r="I35" s="511">
        <f>SUMIF(샘플창고재고!$E:$E,"S278-00.00", 샘플창고재고!$Q:$Q)</f>
        <v>441</v>
      </c>
      <c r="J35" s="510">
        <f>SUMIF(샘플창고재고!$E:$E,"S278-00.50", 샘플창고재고!$Q:$Q)</f>
        <v>467</v>
      </c>
      <c r="K35" s="510">
        <f>SUMIF(샘플창고재고!$E:$E,"S278-00.75", 샘플창고재고!$Q:$Q)</f>
        <v>171</v>
      </c>
      <c r="L35" s="511">
        <f>SUMIF(샘플창고재고!$E:$E,"S278-01.00", 샘플창고재고!$Q:$Q)</f>
        <v>73</v>
      </c>
      <c r="M35" s="511">
        <f>SUMIF(샘플창고재고!$E:$E,"S278-01.25", 샘플창고재고!$Q:$Q)</f>
        <v>661</v>
      </c>
      <c r="N35" s="511">
        <f>SUMIF(샘플창고재고!$E:$E,"S278-01.50", 샘플창고재고!$Q:$Q)</f>
        <v>333</v>
      </c>
      <c r="O35" s="510">
        <f>SUMIF(샘플창고재고!$E:$E,"S278-01.75", 샘플창고재고!$Q:$Q)</f>
        <v>975</v>
      </c>
      <c r="P35" s="511">
        <f>SUMIF(샘플창고재고!$E:$E,"S278-02.00", 샘플창고재고!$Q:$Q)</f>
        <v>740</v>
      </c>
      <c r="Q35" s="511">
        <f>SUMIF(샘플창고재고!$E:$E,"S278-02.25", 샘플창고재고!$Q:$Q)</f>
        <v>789</v>
      </c>
      <c r="R35" s="511">
        <f>SUMIF(샘플창고재고!$E:$E,"S278-02.50", 샘플창고재고!$Q:$Q)</f>
        <v>1124</v>
      </c>
      <c r="S35" s="511">
        <f>SUMIF(샘플창고재고!$E:$E,"S278-02.75", 샘플창고재고!$Q:$Q)</f>
        <v>144</v>
      </c>
      <c r="T35" s="511">
        <f>SUMIF(샘플창고재고!$E:$E,"S278-03.00", 샘플창고재고!$Q:$Q)</f>
        <v>283</v>
      </c>
      <c r="U35" s="511">
        <f>SUMIF(샘플창고재고!$E:$E,"S278-03.25", 샘플창고재고!$Q:$Q)</f>
        <v>431</v>
      </c>
      <c r="V35" s="511">
        <f>SUMIF(샘플창고재고!$E:$E,"S278-03.50", 샘플창고재고!$Q:$Q)</f>
        <v>124</v>
      </c>
      <c r="W35" s="511">
        <f>SUMIF(샘플창고재고!$E:$E,"S278-03.75", 샘플창고재고!$Q:$Q)</f>
        <v>780</v>
      </c>
      <c r="X35" s="511">
        <f>SUMIF(샘플창고재고!$E:$E,"S278-04.00", 샘플창고재고!$Q:$Q)</f>
        <v>642</v>
      </c>
      <c r="Y35" s="511">
        <f>SUMIF(샘플창고재고!$E:$E,"S278-04.25", 샘플창고재고!$Q:$Q)</f>
        <v>421</v>
      </c>
      <c r="Z35" s="511">
        <f>SUMIF(샘플창고재고!$E:$E,"S278-04.50", 샘플창고재고!$Q:$Q)</f>
        <v>267</v>
      </c>
      <c r="AA35" s="511">
        <f>SUMIF(샘플창고재고!$E:$E,"S278-04.75", 샘플창고재고!$Q:$Q)</f>
        <v>934</v>
      </c>
      <c r="AB35" s="511">
        <f>SUMIF(샘플창고재고!$E:$E,"S278-05.00", 샘플창고재고!$Q:$Q)</f>
        <v>593</v>
      </c>
      <c r="AC35" s="511">
        <f>SUMIF(샘플창고재고!$E:$E,"S278-05.25", 샘플창고재고!$Q:$Q)</f>
        <v>806</v>
      </c>
      <c r="AD35" s="511">
        <f>SUMIF(샘플창고재고!$E:$E,"S278-05.50", 샘플창고재고!$Q:$Q)</f>
        <v>401</v>
      </c>
      <c r="AE35" s="511">
        <f>SUMIF(샘플창고재고!$E:$E,"S278-05.75", 샘플창고재고!$Q:$Q)</f>
        <v>589</v>
      </c>
      <c r="AF35" s="511">
        <f>SUMIF(샘플창고재고!$E:$E,"S278-06.00", 샘플창고재고!$Q:$Q)</f>
        <v>405</v>
      </c>
      <c r="AG35" s="511">
        <f>SUMIF(샘플창고재고!$E:$E,"S278-06.50", 샘플창고재고!$Q:$Q)</f>
        <v>189</v>
      </c>
      <c r="AH35" s="511">
        <f>SUMIF(샘플창고재고!$E:$E,"S278-07.00", 샘플창고재고!$Q:$Q)</f>
        <v>329</v>
      </c>
      <c r="AI35" s="511">
        <f>SUMIF(샘플창고재고!$E:$E,"S278-07.50", 샘플창고재고!$Q:$Q)</f>
        <v>1196</v>
      </c>
      <c r="AJ35" s="511">
        <f>SUMIF(샘플창고재고!$E:$E,"S278-08.00", 샘플창고재고!$Q:$Q)</f>
        <v>320</v>
      </c>
    </row>
    <row r="36" spans="2:36" hidden="1">
      <c r="B36" s="678" t="s">
        <v>7290</v>
      </c>
      <c r="C36" s="679" t="s">
        <v>7977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7962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8"/>
      <c r="C37" s="679"/>
      <c r="D37" s="517"/>
      <c r="E37" s="517">
        <f t="shared" si="8"/>
        <v>11628</v>
      </c>
      <c r="F37" s="519"/>
      <c r="G37" s="532"/>
      <c r="H37" s="533" t="s">
        <v>7963</v>
      </c>
      <c r="I37" s="511">
        <f>SUMIF(샘플창고재고!$E:$E,"S277-00.00", 샘플창고재고!$Q:$Q)</f>
        <v>340</v>
      </c>
      <c r="J37" s="510">
        <f>SUMIF(샘플창고재고!$E:$E,"S277-00.50", 샘플창고재고!$Q:$Q)</f>
        <v>982</v>
      </c>
      <c r="K37" s="510">
        <f>SUMIF(샘플창고재고!$E:$E,"S277-00.75", 샘플창고재고!$Q:$Q)</f>
        <v>168</v>
      </c>
      <c r="L37" s="511">
        <f>SUMIF(샘플창고재고!$E:$E,"S277-01.00", 샘플창고재고!$Q:$Q)</f>
        <v>306</v>
      </c>
      <c r="M37" s="511">
        <f>SUMIF(샘플창고재고!$E:$E,"S277-01.25", 샘플창고재고!$Q:$Q)</f>
        <v>680</v>
      </c>
      <c r="N37" s="511">
        <f>SUMIF(샘플창고재고!$E:$E,"S277-01.50", 샘플창고재고!$Q:$Q)</f>
        <v>263</v>
      </c>
      <c r="O37" s="510">
        <f>SUMIF(샘플창고재고!$E:$E,"S277-01.75", 샘플창고재고!$Q:$Q)</f>
        <v>257</v>
      </c>
      <c r="P37" s="511">
        <f>SUMIF(샘플창고재고!$E:$E,"S277-02.00", 샘플창고재고!$Q:$Q)</f>
        <v>352</v>
      </c>
      <c r="Q37" s="511">
        <f>SUMIF(샘플창고재고!$E:$E,"S277-02.25", 샘플창고재고!$Q:$Q)</f>
        <v>512</v>
      </c>
      <c r="R37" s="511">
        <f>SUMIF(샘플창고재고!$E:$E,"S277-02.50", 샘플창고재고!$Q:$Q)</f>
        <v>255</v>
      </c>
      <c r="S37" s="511">
        <f>SUMIF(샘플창고재고!$E:$E,"S277-02.75", 샘플창고재고!$Q:$Q)</f>
        <v>406</v>
      </c>
      <c r="T37" s="511">
        <f>SUMIF(샘플창고재고!$E:$E,"S277-03.00", 샘플창고재고!$Q:$Q)</f>
        <v>405</v>
      </c>
      <c r="U37" s="511">
        <f>SUMIF(샘플창고재고!$E:$E,"S277-03.25", 샘플창고재고!$Q:$Q)</f>
        <v>461</v>
      </c>
      <c r="V37" s="511">
        <f>SUMIF(샘플창고재고!$E:$E,"S277-03.50", 샘플창고재고!$Q:$Q)</f>
        <v>196</v>
      </c>
      <c r="W37" s="511">
        <f>SUMIF(샘플창고재고!$E:$E,"S277-03.75", 샘플창고재고!$Q:$Q)</f>
        <v>590</v>
      </c>
      <c r="X37" s="511">
        <f>SUMIF(샘플창고재고!$E:$E,"S277-04.00", 샘플창고재고!$Q:$Q)</f>
        <v>639</v>
      </c>
      <c r="Y37" s="511">
        <f>SUMIF(샘플창고재고!$E:$E,"S277-04.25", 샘플창고재고!$Q:$Q)</f>
        <v>415</v>
      </c>
      <c r="Z37" s="511">
        <f>SUMIF(샘플창고재고!$E:$E,"S277-04.50", 샘플창고재고!$Q:$Q)</f>
        <v>331</v>
      </c>
      <c r="AA37" s="511">
        <f>SUMIF(샘플창고재고!$E:$E,"S277-04.75", 샘플창고재고!$Q:$Q)</f>
        <v>872</v>
      </c>
      <c r="AB37" s="511">
        <f>SUMIF(샘플창고재고!$E:$E,"S277-05.00", 샘플창고재고!$Q:$Q)</f>
        <v>615</v>
      </c>
      <c r="AC37" s="511">
        <f>SUMIF(샘플창고재고!$E:$E,"S277-05.25", 샘플창고재고!$Q:$Q)</f>
        <v>184</v>
      </c>
      <c r="AD37" s="511">
        <f>SUMIF(샘플창고재고!$E:$E,"S277-05.50", 샘플창고재고!$Q:$Q)</f>
        <v>215</v>
      </c>
      <c r="AE37" s="511">
        <f>SUMIF(샘플창고재고!$E:$E,"S277-05.75", 샘플창고재고!$Q:$Q)</f>
        <v>406</v>
      </c>
      <c r="AF37" s="511">
        <f>SUMIF(샘플창고재고!$E:$E,"S277-06.00", 샘플창고재고!$Q:$Q)</f>
        <v>314</v>
      </c>
      <c r="AG37" s="511">
        <f>SUMIF(샘플창고재고!$E:$E,"S277-06.50", 샘플창고재고!$Q:$Q)</f>
        <v>240</v>
      </c>
      <c r="AH37" s="511">
        <f>SUMIF(샘플창고재고!$E:$E,"S277-07.00", 샘플창고재고!$Q:$Q)</f>
        <v>241</v>
      </c>
      <c r="AI37" s="511">
        <f>SUMIF(샘플창고재고!$E:$E,"S277-07.50", 샘플창고재고!$Q:$Q)</f>
        <v>536</v>
      </c>
      <c r="AJ37" s="511">
        <f>SUMIF(샘플창고재고!$E:$E,"S277-08.00", 샘플창고재고!$Q:$Q)</f>
        <v>447</v>
      </c>
    </row>
    <row r="38" spans="2:36" hidden="1">
      <c r="B38" s="678" t="s">
        <v>7290</v>
      </c>
      <c r="C38" s="679" t="s">
        <v>7978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7962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8"/>
      <c r="C39" s="679"/>
      <c r="D39" s="517"/>
      <c r="E39" s="517">
        <f t="shared" si="8"/>
        <v>3227</v>
      </c>
      <c r="F39" s="519"/>
      <c r="G39" s="532"/>
      <c r="H39" s="533" t="s">
        <v>7963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8" t="s">
        <v>7290</v>
      </c>
      <c r="C40" s="679" t="s">
        <v>7979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7962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8"/>
      <c r="C41" s="679"/>
      <c r="D41" s="517"/>
      <c r="E41" s="517">
        <f t="shared" si="8"/>
        <v>963</v>
      </c>
      <c r="F41" s="519"/>
      <c r="G41" s="532"/>
      <c r="H41" s="533" t="s">
        <v>7963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8" t="s">
        <v>9193</v>
      </c>
      <c r="C42" s="679" t="s">
        <v>7980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7962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8"/>
      <c r="C43" s="679"/>
      <c r="D43" s="487"/>
      <c r="E43" s="517">
        <f t="shared" si="8"/>
        <v>11029</v>
      </c>
      <c r="F43" s="487"/>
      <c r="G43" s="487"/>
      <c r="H43" s="533" t="s">
        <v>7963</v>
      </c>
      <c r="I43" s="520"/>
      <c r="J43" s="510">
        <f>SUMIF(샘플창고재고!$E:$E,"S281-00.50", 샘플창고재고!$Q:$Q)</f>
        <v>150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266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203</v>
      </c>
      <c r="P43" s="511">
        <f>SUMIF(샘플창고재고!$E:$E,"S281-02.00", 샘플창고재고!$Q:$Q)</f>
        <v>236</v>
      </c>
      <c r="Q43" s="511">
        <f>SUMIF(샘플창고재고!$E:$E,"S281-02.25", 샘플창고재고!$Q:$Q)</f>
        <v>517</v>
      </c>
      <c r="R43" s="511">
        <f>SUMIF(샘플창고재고!$E:$E,"S281-02.50", 샘플창고재고!$Q:$Q)</f>
        <v>317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574</v>
      </c>
      <c r="AA43" s="511">
        <f>SUMIF(샘플창고재고!$E:$E,"S281-04.75", 샘플창고재고!$Q:$Q)</f>
        <v>427</v>
      </c>
      <c r="AB43" s="511">
        <f>SUMIF(샘플창고재고!$E:$E,"S281-05.00", 샘플창고재고!$Q:$Q)</f>
        <v>293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432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260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418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44" priority="1">
      <formula>EX4="경고"</formula>
    </cfRule>
    <cfRule type="expression" dxfId="143" priority="2">
      <formula>DN4="증가"</formula>
    </cfRule>
    <cfRule type="expression" dxfId="142" priority="3">
      <formula>I4&lt;100</formula>
    </cfRule>
  </conditionalFormatting>
  <conditionalFormatting sqref="I10:AB18">
    <cfRule type="expression" dxfId="141" priority="17">
      <formula>EX10="경고"</formula>
    </cfRule>
    <cfRule type="expression" dxfId="140" priority="18">
      <formula>DN10="증가"</formula>
    </cfRule>
    <cfRule type="expression" dxfId="139" priority="19">
      <formula>I10&lt;100</formula>
    </cfRule>
  </conditionalFormatting>
  <conditionalFormatting sqref="I23:AB28 AF27:AJ28 AD28">
    <cfRule type="cellIs" dxfId="138" priority="107" operator="lessThan">
      <formula>6</formula>
    </cfRule>
  </conditionalFormatting>
  <conditionalFormatting sqref="I23:AB28 AF27:AJ28">
    <cfRule type="expression" dxfId="137" priority="106">
      <formula>I23&lt;30</formula>
    </cfRule>
  </conditionalFormatting>
  <conditionalFormatting sqref="I23:AB28">
    <cfRule type="expression" dxfId="136" priority="105">
      <formula>DN23="증가"</formula>
    </cfRule>
    <cfRule type="expression" dxfId="135" priority="104">
      <formula>EX23="경고"</formula>
    </cfRule>
  </conditionalFormatting>
  <conditionalFormatting sqref="I3:AJ3">
    <cfRule type="expression" dxfId="134" priority="181">
      <formula>#REF!&lt;50</formula>
    </cfRule>
    <cfRule type="expression" dxfId="133" priority="180">
      <formula>#REF!="경고"</formula>
    </cfRule>
    <cfRule type="expression" dxfId="132" priority="179">
      <formula>#REF!="증가"</formula>
    </cfRule>
  </conditionalFormatting>
  <conditionalFormatting sqref="I8:AJ8">
    <cfRule type="expression" dxfId="131" priority="174">
      <formula>#REF!="경고"</formula>
    </cfRule>
    <cfRule type="expression" dxfId="130" priority="173">
      <formula>#REF!="증가"</formula>
    </cfRule>
    <cfRule type="expression" dxfId="129" priority="182">
      <formula>#REF!&lt;50</formula>
    </cfRule>
  </conditionalFormatting>
  <conditionalFormatting sqref="I19:AJ19">
    <cfRule type="expression" dxfId="128" priority="86">
      <formula>#REF!="증가"</formula>
    </cfRule>
    <cfRule type="expression" dxfId="127" priority="87">
      <formula>#REF!="경고"</formula>
    </cfRule>
    <cfRule type="expression" dxfId="126" priority="88">
      <formula>#REF!&lt;50</formula>
    </cfRule>
  </conditionalFormatting>
  <conditionalFormatting sqref="I29:AJ29">
    <cfRule type="expression" dxfId="125" priority="79">
      <formula>#REF!="증가"</formula>
    </cfRule>
    <cfRule type="expression" dxfId="124" priority="80">
      <formula>#REF!="경고"</formula>
    </cfRule>
    <cfRule type="expression" dxfId="123" priority="81">
      <formula>#REF!&lt;50</formula>
    </cfRule>
  </conditionalFormatting>
  <conditionalFormatting sqref="I30:AJ31">
    <cfRule type="cellIs" dxfId="122" priority="100" operator="lessThan">
      <formula>6</formula>
    </cfRule>
  </conditionalFormatting>
  <conditionalFormatting sqref="I30:AJ41">
    <cfRule type="expression" dxfId="121" priority="98">
      <formula>DN30="증가"</formula>
    </cfRule>
    <cfRule type="expression" dxfId="120" priority="99">
      <formula>I30&lt;100</formula>
    </cfRule>
    <cfRule type="expression" dxfId="119" priority="97">
      <formula>EX30="경고"</formula>
    </cfRule>
  </conditionalFormatting>
  <conditionalFormatting sqref="J9:AB9">
    <cfRule type="expression" dxfId="118" priority="13">
      <formula>EY9="경고"</formula>
    </cfRule>
    <cfRule type="expression" dxfId="117" priority="14">
      <formula>DO9="증가"</formula>
    </cfRule>
    <cfRule type="expression" dxfId="116" priority="15">
      <formula>J9&lt;100</formula>
    </cfRule>
  </conditionalFormatting>
  <conditionalFormatting sqref="J42:AJ43">
    <cfRule type="expression" dxfId="115" priority="24">
      <formula>EY42="경고"</formula>
    </cfRule>
    <cfRule type="expression" dxfId="114" priority="25">
      <formula>DO42="증가"</formula>
    </cfRule>
    <cfRule type="expression" dxfId="113" priority="26">
      <formula>J42&lt;100</formula>
    </cfRule>
  </conditionalFormatting>
  <conditionalFormatting sqref="L4:AB7 AD4:AD7 AF4:AJ7">
    <cfRule type="expression" dxfId="112" priority="176">
      <formula>DQ4="증가"</formula>
    </cfRule>
    <cfRule type="expression" dxfId="111" priority="177">
      <formula>L4&lt;100</formula>
    </cfRule>
    <cfRule type="expression" dxfId="110" priority="175">
      <formula>FA4="경고"</formula>
    </cfRule>
  </conditionalFormatting>
  <conditionalFormatting sqref="L20:AB22 AF21:AH22">
    <cfRule type="expression" dxfId="109" priority="120">
      <formula>L20&lt;100</formula>
    </cfRule>
  </conditionalFormatting>
  <conditionalFormatting sqref="L20:AB22">
    <cfRule type="expression" dxfId="108" priority="119">
      <formula>DQ20="증가"</formula>
    </cfRule>
    <cfRule type="expression" dxfId="107" priority="118">
      <formula>FA20="경고"</formula>
    </cfRule>
  </conditionalFormatting>
  <conditionalFormatting sqref="AD9:AD18">
    <cfRule type="expression" dxfId="106" priority="23">
      <formula>AD9&lt;100</formula>
    </cfRule>
    <cfRule type="expression" dxfId="105" priority="21">
      <formula>FS9="경고"</formula>
    </cfRule>
    <cfRule type="expression" dxfId="104" priority="22">
      <formula>EI9="증가"</formula>
    </cfRule>
  </conditionalFormatting>
  <conditionalFormatting sqref="AD20:AD26">
    <cfRule type="expression" dxfId="103" priority="110">
      <formula>AD20&lt;100</formula>
    </cfRule>
  </conditionalFormatting>
  <conditionalFormatting sqref="AD20:AD28">
    <cfRule type="expression" dxfId="102" priority="102">
      <formula>EI20="증가"</formula>
    </cfRule>
    <cfRule type="expression" dxfId="101" priority="101">
      <formula>FS20="경고"</formula>
    </cfRule>
  </conditionalFormatting>
  <conditionalFormatting sqref="AD27:AD28">
    <cfRule type="expression" dxfId="100" priority="103">
      <formula>AD27&lt;20</formula>
    </cfRule>
  </conditionalFormatting>
  <conditionalFormatting sqref="AF23:AG23">
    <cfRule type="expression" dxfId="99" priority="168">
      <formula>AF23&lt;100</formula>
    </cfRule>
  </conditionalFormatting>
  <conditionalFormatting sqref="AF26:AG26">
    <cfRule type="expression" dxfId="98" priority="148">
      <formula>AF26&lt;20</formula>
    </cfRule>
  </conditionalFormatting>
  <conditionalFormatting sqref="AF20:AH20">
    <cfRule type="expression" dxfId="97" priority="156">
      <formula>AF20&lt;100</formula>
    </cfRule>
  </conditionalFormatting>
  <conditionalFormatting sqref="AF20:AH22">
    <cfRule type="expression" dxfId="96" priority="155">
      <formula>EK20="증가"</formula>
    </cfRule>
    <cfRule type="expression" dxfId="95" priority="153">
      <formula>FU20="경고"</formula>
    </cfRule>
  </conditionalFormatting>
  <conditionalFormatting sqref="AF9:AJ18">
    <cfRule type="expression" dxfId="94" priority="41">
      <formula>AF9&lt;100</formula>
    </cfRule>
    <cfRule type="expression" dxfId="93" priority="40">
      <formula>EK9="증가"</formula>
    </cfRule>
    <cfRule type="expression" dxfId="92" priority="39">
      <formula>FU9="경고"</formula>
    </cfRule>
  </conditionalFormatting>
  <conditionalFormatting sqref="AF23:AJ23">
    <cfRule type="cellIs" dxfId="91" priority="172" operator="lessThan">
      <formula>6</formula>
    </cfRule>
  </conditionalFormatting>
  <conditionalFormatting sqref="AF23:AJ28">
    <cfRule type="expression" dxfId="90" priority="145">
      <formula>EK23="증가"</formula>
    </cfRule>
    <cfRule type="expression" dxfId="89" priority="143">
      <formula>FU23="경고"</formula>
    </cfRule>
  </conditionalFormatting>
  <conditionalFormatting sqref="AF24:AJ25">
    <cfRule type="expression" dxfId="88" priority="113">
      <formula>AF24&lt;30</formula>
    </cfRule>
  </conditionalFormatting>
  <conditionalFormatting sqref="AF26:AJ26">
    <cfRule type="cellIs" dxfId="87" priority="152" operator="lessThan">
      <formula>6</formula>
    </cfRule>
  </conditionalFormatting>
  <conditionalFormatting sqref="AH23:AJ23">
    <cfRule type="expression" dxfId="86" priority="166">
      <formula>AH23&lt;30</formula>
    </cfRule>
  </conditionalFormatting>
  <conditionalFormatting sqref="AH26:AJ26">
    <cfRule type="expression" dxfId="85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12" sqref="K1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7290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7287</v>
      </c>
      <c r="C3" s="531" t="s">
        <v>3174</v>
      </c>
      <c r="D3" s="531" t="s">
        <v>7288</v>
      </c>
      <c r="E3" s="531" t="s">
        <v>6840</v>
      </c>
      <c r="F3" s="531" t="s">
        <v>7289</v>
      </c>
      <c r="G3" s="531" t="s">
        <v>7420</v>
      </c>
      <c r="H3" s="531" t="s">
        <v>7961</v>
      </c>
      <c r="I3" s="486" t="s">
        <v>7312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9195</v>
      </c>
      <c r="C4" s="528" t="s">
        <v>7965</v>
      </c>
      <c r="D4" s="517">
        <v>8000</v>
      </c>
      <c r="E4" s="517">
        <f>SUM(I4:AJ4)</f>
        <v>13739</v>
      </c>
      <c r="F4" s="519">
        <f>E4/D4</f>
        <v>1.7173750000000001</v>
      </c>
      <c r="G4" s="532">
        <f>COUNTIF(I4:AJ4,"=0")</f>
        <v>0</v>
      </c>
      <c r="H4" s="533" t="s">
        <v>9196</v>
      </c>
      <c r="I4" s="511">
        <f>SUMIF(샘플창고재고!$E:$E,"S366-00.00", 샘플창고재고!$Q:$Q)</f>
        <v>473</v>
      </c>
      <c r="J4" s="520"/>
      <c r="K4" s="520"/>
      <c r="L4" s="511">
        <f>SUMIF(샘플창고재고!$E:$E,"S366-01.00", 샘플창고재고!$Q:$Q)</f>
        <v>703</v>
      </c>
      <c r="M4" s="511">
        <f>SUMIF(샘플창고재고!$E:$E,"S366-01.25", 샘플창고재고!$Q:$Q)</f>
        <v>499</v>
      </c>
      <c r="N4" s="511">
        <f>SUMIF(샘플창고재고!$E:$E,"S366-01.50", 샘플창고재고!$Q:$Q)</f>
        <v>671</v>
      </c>
      <c r="O4" s="511">
        <f>SUMIF(샘플창고재고!$E:$E,"S366-01.75", 샘플창고재고!$Q:$Q)</f>
        <v>545</v>
      </c>
      <c r="P4" s="511">
        <f>SUMIF(샘플창고재고!$E:$E,"S366-02.00", 샘플창고재고!$Q:$Q)</f>
        <v>762</v>
      </c>
      <c r="Q4" s="511">
        <f>SUMIF(샘플창고재고!$E:$E,"S366-02.25", 샘플창고재고!$Q:$Q)+SUMIF(샘플창고재고!$E:$E,"S160-02.25", 샘플창고재고!$Q:$Q)</f>
        <v>665</v>
      </c>
      <c r="R4" s="511">
        <f>SUMIF(샘플창고재고!$E:$E,"S366-02.50", 샘플창고재고!$Q:$Q)+SUMIF(샘플창고재고!$E:$E,"S160-02.50", 샘플창고재고!$Q:$Q)</f>
        <v>667</v>
      </c>
      <c r="S4" s="511">
        <f>SUMIF(샘플창고재고!$E:$E,"S366-02.75", 샘플창고재고!$Q:$Q)+SUMIF(샘플창고재고!$E:$E,"S160-02.75", 샘플창고재고!$Q:$Q)</f>
        <v>573</v>
      </c>
      <c r="T4" s="511">
        <f>SUMIF(샘플창고재고!$E:$E,"S366-03.00", 샘플창고재고!$Q:$Q)+SUMIF(샘플창고재고!$E:$E,"S160-03.00", 샘플창고재고!$Q:$Q)</f>
        <v>264</v>
      </c>
      <c r="U4" s="511">
        <f>SUMIF(샘플창고재고!$E:$E,"S366-03.25", 샘플창고재고!$Q:$Q)+SUMIF(샘플창고재고!$E:$E,"S160-03.25", 샘플창고재고!$Q:$Q)</f>
        <v>608</v>
      </c>
      <c r="V4" s="511">
        <f>SUMIF(샘플창고재고!$E:$E,"S366-03.50", 샘플창고재고!$Q:$Q)+SUMIF(샘플창고재고!$E:$E,"S160-03.50", 샘플창고재고!$Q:$Q)</f>
        <v>692</v>
      </c>
      <c r="W4" s="511">
        <f>SUMIF(샘플창고재고!$E:$E,"S366-03.75", 샘플창고재고!$Q:$Q)+SUMIF(샘플창고재고!$E:$E,"S160-03.75", 샘플창고재고!$Q:$Q)</f>
        <v>600</v>
      </c>
      <c r="X4" s="511">
        <f>SUMIF(샘플창고재고!$E:$E,"S366-04.00", 샘플창고재고!$Q:$Q)+SUMIF(샘플창고재고!$E:$E,"S160-04.00", 샘플창고재고!$Q:$Q)</f>
        <v>628</v>
      </c>
      <c r="Y4" s="511">
        <f>SUMIF(샘플창고재고!$E:$E,"S366-04.25", 샘플창고재고!$Q:$Q)+SUMIF(샘플창고재고!$E:$E,"S160-04.25", 샘플창고재고!$Q:$Q)</f>
        <v>584</v>
      </c>
      <c r="Z4" s="511">
        <f>SUMIF(샘플창고재고!$E:$E,"S366-04.50", 샘플창고재고!$Q:$Q)+SUMIF(샘플창고재고!$E:$E,"S160-04.50", 샘플창고재고!$Q:$Q)</f>
        <v>591</v>
      </c>
      <c r="AA4" s="511">
        <f>SUMIF(샘플창고재고!$E:$E,"S366-04.75", 샘플창고재고!$Q:$Q)+SUMIF(샘플창고재고!$E:$E,"S160-04.75", 샘플창고재고!$Q:$Q)</f>
        <v>570</v>
      </c>
      <c r="AB4" s="511">
        <f>SUMIF(샘플창고재고!$E:$E,"S366-05.00", 샘플창고재고!$Q:$Q)+SUMIF(샘플창고재고!$E:$E,"S160-05.00", 샘플창고재고!$Q:$Q)</f>
        <v>669</v>
      </c>
      <c r="AC4" s="520"/>
      <c r="AD4" s="511">
        <f>SUMIF(샘플창고재고!$E:$E,"S366-05.50", 샘플창고재고!$Q:$Q)+SUMIF(샘플창고재고!$E:$E,"S160-05.50", 샘플창고재고!$Q:$Q)</f>
        <v>644</v>
      </c>
      <c r="AE4" s="520"/>
      <c r="AF4" s="511">
        <f>SUMIF(샘플창고재고!$E:$E,"S366-06.00", 샘플창고재고!$Q:$Q)+SUMIF(샘플창고재고!$E:$E,"S160-06.00", 샘플창고재고!$Q:$Q)</f>
        <v>696</v>
      </c>
      <c r="AG4" s="511">
        <f>SUMIF(샘플창고재고!$E:$E,"S366-06.50", 샘플창고재고!$Q:$Q)+SUMIF(샘플창고재고!$E:$E,"S160-06.50", 샘플창고재고!$Q:$Q)</f>
        <v>600</v>
      </c>
      <c r="AH4" s="511">
        <f>SUMIF(샘플창고재고!$E:$E,"S366-07.00", 샘플창고재고!$Q:$Q)+SUMIF(샘플창고재고!$E:$E,"S160-07.00", 샘플창고재고!$Q:$Q)</f>
        <v>585</v>
      </c>
      <c r="AI4" s="511">
        <f>SUMIF(샘플창고재고!$E:$E,"S366-07.50", 샘플창고재고!$Q:$Q)+SUMIF(샘플창고재고!$E:$E,"S160-07.50", 샘플창고재고!$Q:$Q)</f>
        <v>251</v>
      </c>
      <c r="AJ4" s="511">
        <f>SUMIF(샘플창고재고!$E:$E,"S366-08.00", 샘플창고재고!$Q:$Q)+SUMIF(샘플창고재고!$E:$E,"S160-08.00", 샘플창고재고!$Q:$Q)</f>
        <v>199</v>
      </c>
    </row>
    <row r="5" spans="2:36">
      <c r="B5" s="678" t="s">
        <v>7307</v>
      </c>
      <c r="C5" s="679" t="s">
        <v>7964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7962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8"/>
      <c r="C6" s="679"/>
      <c r="D6" s="517"/>
      <c r="E6" s="517"/>
      <c r="F6" s="519"/>
      <c r="G6" s="532"/>
      <c r="H6" s="533" t="s">
        <v>7963</v>
      </c>
      <c r="I6" s="511">
        <f>SUMIF(샘플창고재고!$E:$E,"S284-00.00", 샘플창고재고!$Q:$Q)</f>
        <v>402</v>
      </c>
      <c r="J6" s="520"/>
      <c r="K6" s="520"/>
      <c r="L6" s="511">
        <f>SUMIF(샘플창고재고!$E:$E,"S284-01.00", 샘플창고재고!$Q:$Q)</f>
        <v>453</v>
      </c>
      <c r="M6" s="511">
        <f>SUMIF(샘플창고재고!$E:$E,"S284-01.25", 샘플창고재고!$Q:$Q)</f>
        <v>801</v>
      </c>
      <c r="N6" s="511">
        <f>SUMIF(샘플창고재고!$E:$E,"S284-01.50", 샘플창고재고!$Q:$Q)</f>
        <v>897</v>
      </c>
      <c r="O6" s="511">
        <f>SUMIF(샘플창고재고!$E:$E,"S284-01.75",샘플창고재고!$Q:$Q)</f>
        <v>408</v>
      </c>
      <c r="P6" s="511">
        <f>SUMIF(샘플창고재고!$E:$E,"S284-02.00", 샘플창고재고!$Q:$Q)</f>
        <v>840</v>
      </c>
      <c r="Q6" s="511">
        <f>SUMIF(샘플창고재고!$E:$E,"S284-02.25", 샘플창고재고!$Q:$Q)</f>
        <v>247</v>
      </c>
      <c r="R6" s="511">
        <f>SUMIF(샘플창고재고!$E:$E,"S284-02.50", 샘플창고재고!$Q:$Q)</f>
        <v>1018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190</v>
      </c>
      <c r="V6" s="511">
        <f>SUMIF(샘플창고재고!$E:$E,"S284-03.50", 샘플창고재고!$Q:$Q)</f>
        <v>533</v>
      </c>
      <c r="W6" s="511">
        <f>SUMIF(샘플창고재고!$E:$E,"S284-03.75", 샘플창고재고!$Q:$Q)</f>
        <v>54</v>
      </c>
      <c r="X6" s="511">
        <f>SUMIF(샘플창고재고!$E:$E,"S284-04.00", 샘플창고재고!$Q:$Q)</f>
        <v>962</v>
      </c>
      <c r="Y6" s="511">
        <f>SUMIF(샘플창고재고!$E:$E,"S284-04.25", 샘플창고재고!$Q:$Q)</f>
        <v>0</v>
      </c>
      <c r="Z6" s="511">
        <f>SUMIF(샘플창고재고!$E:$E,"S284-04.50", 샘플창고재고!$Q:$Q)</f>
        <v>721</v>
      </c>
      <c r="AA6" s="511">
        <f>SUMIF(샘플창고재고!$E:$E,"S284-04.75", 샘플창고재고!$Q:$Q)</f>
        <v>920</v>
      </c>
      <c r="AB6" s="511">
        <f>SUMIF(샘플창고재고!$E:$E,"S284-05.00", 샘플창고재고!$Q:$Q)</f>
        <v>626</v>
      </c>
      <c r="AC6" s="520"/>
      <c r="AD6" s="511">
        <f>SUMIF(샘플창고재고!$E:$E,"S284-05.50", 샘플창고재고!$Q:$Q)</f>
        <v>570</v>
      </c>
      <c r="AE6" s="520"/>
      <c r="AF6" s="511">
        <f>SUMIF(샘플창고재고!$E:$E,"S284-06.00", 샘플창고재고!$Q:$Q)</f>
        <v>790</v>
      </c>
      <c r="AG6" s="511">
        <f>SUMIF(샘플창고재고!$E:$E,"S284-06.50", 샘플창고재고!$Q:$Q)</f>
        <v>820</v>
      </c>
      <c r="AH6" s="511">
        <f>SUMIF(샘플창고재고!$E:$E,"S284-07.00", 샘플창고재고!$Q:$Q)</f>
        <v>740</v>
      </c>
      <c r="AI6" s="511">
        <f>SUMIF(샘플창고재고!$E:$E,"S284-07.50", 샘플창고재고!$Q:$Q)</f>
        <v>760</v>
      </c>
      <c r="AJ6" s="511">
        <f>SUMIF(샘플창고재고!$E:$E,"S284-08.00", 샘플창고재고!$Q:$Q)</f>
        <v>718</v>
      </c>
    </row>
    <row r="7" spans="2:36">
      <c r="B7" s="678" t="s">
        <v>7307</v>
      </c>
      <c r="C7" s="679" t="s">
        <v>7966</v>
      </c>
      <c r="D7" s="517">
        <v>8000</v>
      </c>
      <c r="E7" s="517">
        <f t="shared" si="0"/>
        <v>32</v>
      </c>
      <c r="F7" s="519">
        <f t="shared" si="1"/>
        <v>4.0000000000000001E-3</v>
      </c>
      <c r="G7" s="532">
        <f t="shared" si="2"/>
        <v>23</v>
      </c>
      <c r="H7" s="533" t="s">
        <v>7962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32</v>
      </c>
      <c r="AJ7" s="511">
        <f>SUMIF(샘플창고재고!$E:$E,"S261-08.00", 샘플창고재고!$Q:$Q)</f>
        <v>0</v>
      </c>
    </row>
    <row r="8" spans="2:36">
      <c r="B8" s="678"/>
      <c r="C8" s="679"/>
      <c r="D8" s="517"/>
      <c r="E8" s="517"/>
      <c r="F8" s="519"/>
      <c r="G8" s="532"/>
      <c r="H8" s="533" t="s">
        <v>7963</v>
      </c>
      <c r="I8" s="511">
        <f>SUMIF(샘플창고재고!$E:$E,"S283-00.00", 샘플창고재고!$Q:$Q)</f>
        <v>632</v>
      </c>
      <c r="J8" s="520"/>
      <c r="K8" s="520"/>
      <c r="L8" s="511">
        <f>SUMIF(샘플창고재고!$E:$E,"S283-01.00", 샘플창고재고!$Q:$Q)</f>
        <v>1039</v>
      </c>
      <c r="M8" s="511">
        <f>SUMIF(샘플창고재고!$E:$E,"S283-01.25", 샘플창고재고!$Q:$Q)</f>
        <v>877</v>
      </c>
      <c r="N8" s="511">
        <f>SUMIF(샘플창고재고!$E:$E,"S283-01.50", 샘플창고재고!$Q:$Q)</f>
        <v>663</v>
      </c>
      <c r="O8" s="511">
        <f>SUMIF(샘플창고재고!$E:$E,"S283-01.75", 샘플창고재고!$Q:$Q)</f>
        <v>914</v>
      </c>
      <c r="P8" s="511">
        <f>SUMIF(샘플창고재고!$E:$E,"S283-02.00", 샘플창고재고!$Q:$Q)</f>
        <v>1068</v>
      </c>
      <c r="Q8" s="511">
        <f>SUMIF(샘플창고재고!$E:$E,"S283-02.25", 샘플창고재고!$Q:$Q)</f>
        <v>995</v>
      </c>
      <c r="R8" s="511">
        <f>SUMIF(샘플창고재고!$E:$E,"S283-02.50", 샘플창고재고!$Q:$Q)</f>
        <v>725</v>
      </c>
      <c r="S8" s="511">
        <f>SUMIF(샘플창고재고!$E:$E,"S283-02.75", 샘플창고재고!$Q:$Q)</f>
        <v>1011</v>
      </c>
      <c r="T8" s="511">
        <f>SUMIF(샘플창고재고!$E:$E,"S283-03.00", 샘플창고재고!$Q:$Q)</f>
        <v>989</v>
      </c>
      <c r="U8" s="511">
        <f>SUMIF(샘플창고재고!$E:$E,"S283-03.25", 샘플창고재고!$Q:$Q)</f>
        <v>988</v>
      </c>
      <c r="V8" s="511">
        <f>SUMIF(샘플창고재고!$E:$E,"S283-03.50", 샘플창고재고!$Q:$Q)</f>
        <v>918</v>
      </c>
      <c r="W8" s="511">
        <f>SUMIF(샘플창고재고!$E:$E,"S283-03.75", 샘플창고재고!$Q:$Q)</f>
        <v>936</v>
      </c>
      <c r="X8" s="511">
        <f>SUMIF(샘플창고재고!$E:$E,"S283-04.00", 샘플창고재고!$Q:$Q)</f>
        <v>896</v>
      </c>
      <c r="Y8" s="511">
        <f>SUMIF(샘플창고재고!$E:$E,"S283-04.25", 샘플창고재고!$Q:$Q)</f>
        <v>910</v>
      </c>
      <c r="Z8" s="511">
        <f>SUMIF(샘플창고재고!$E:$E,"S283-04.50", 샘플창고재고!$Q:$Q)</f>
        <v>795</v>
      </c>
      <c r="AA8" s="511">
        <f>SUMIF(샘플창고재고!$E:$E,"S283-04.75", 샘플창고재고!$Q:$Q)</f>
        <v>984</v>
      </c>
      <c r="AB8" s="511">
        <f>SUMIF(샘플창고재고!$E:$E,"S283-05.00", 샘플창고재고!$Q:$Q)</f>
        <v>1145</v>
      </c>
      <c r="AC8" s="520"/>
      <c r="AD8" s="511">
        <f>SUMIF(샘플창고재고!$E:$E,"S283-05.50", 샘플창고재고!$Q:$Q)</f>
        <v>1020</v>
      </c>
      <c r="AE8" s="520"/>
      <c r="AF8" s="511">
        <f>SUMIF(샘플창고재고!$E:$E,"S283-06.00", 샘플창고재고!$Q:$Q)</f>
        <v>956</v>
      </c>
      <c r="AG8" s="511">
        <f>SUMIF(샘플창고재고!$E:$E,"S283-06.50", 샘플창고재고!$Q:$Q)</f>
        <v>414</v>
      </c>
      <c r="AH8" s="511">
        <f>SUMIF(샘플창고재고!$E:$E,"S283-07.00", 샘플창고재고!$Q:$Q)</f>
        <v>803</v>
      </c>
      <c r="AI8" s="511">
        <f>SUMIF(샘플창고재고!$E:$E,"S283-07.50", 샘플창고재고!$Q:$Q)</f>
        <v>988</v>
      </c>
      <c r="AJ8" s="511">
        <f>SUMIF(샘플창고재고!$E:$E,"S283-08.00", 샘플창고재고!$Q:$Q)</f>
        <v>966</v>
      </c>
    </row>
    <row r="9" spans="2:36">
      <c r="B9" s="678" t="s">
        <v>7310</v>
      </c>
      <c r="C9" s="679" t="s">
        <v>7967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7962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8"/>
      <c r="C10" s="679"/>
      <c r="D10" s="517"/>
      <c r="E10" s="517"/>
      <c r="F10" s="519"/>
      <c r="G10" s="532"/>
      <c r="H10" s="533" t="s">
        <v>7963</v>
      </c>
      <c r="I10" s="511">
        <f>SUMIF(샘플창고재고!$E:$E,"S282-00.00", 샘플창고재고!$Q:$Q)</f>
        <v>1830</v>
      </c>
      <c r="J10" s="520"/>
      <c r="K10" s="520"/>
      <c r="L10" s="511">
        <f>SUMIF(샘플창고재고!$E:$E,"S282-01.00", 샘플창고재고!$Q:$Q)</f>
        <v>1266</v>
      </c>
      <c r="M10" s="511">
        <f>SUMIF(샘플창고재고!$E:$E,"S282-01.25", 샘플창고재고!$Q:$Q)</f>
        <v>1074</v>
      </c>
      <c r="N10" s="511">
        <f>SUMIF(샘플창고재고!$E:$E,"S282-01.50", 샘플창고재고!$Q:$Q)</f>
        <v>1398</v>
      </c>
      <c r="O10" s="511">
        <f>SUMIF(샘플창고재고!$E:$E,"S282-01.75", 샘플창고재고!$Q:$Q)</f>
        <v>1139</v>
      </c>
      <c r="P10" s="511">
        <f>SUMIF(샘플창고재고!$E:$E,"S282-02.00", 샘플창고재고!$Q:$Q)</f>
        <v>730</v>
      </c>
      <c r="Q10" s="511">
        <f>SUMIF(샘플창고재고!$E:$E,"S282-02.25", 샘플창고재고!$Q:$Q)</f>
        <v>1404</v>
      </c>
      <c r="R10" s="511">
        <f>SUMIF(샘플창고재고!$E:$E,"S282-02.50", 샘플창고재고!$Q:$Q)</f>
        <v>1316</v>
      </c>
      <c r="S10" s="511">
        <f>SUMIF(샘플창고재고!$E:$E,"S282-02.75", 샘플창고재고!$Q:$Q)</f>
        <v>1147</v>
      </c>
      <c r="T10" s="511">
        <f>SUMIF(샘플창고재고!$E:$E,"S282-03.00", 샘플창고재고!$Q:$Q)</f>
        <v>1081</v>
      </c>
      <c r="U10" s="511">
        <f>SUMIF(샘플창고재고!$E:$E,"S282-03.25", 샘플창고재고!$Q:$Q)</f>
        <v>1163</v>
      </c>
      <c r="V10" s="511">
        <f>SUMIF(샘플창고재고!$E:$E,"S282-03.50", 샘플창고재고!$Q:$Q)</f>
        <v>1250</v>
      </c>
      <c r="W10" s="511">
        <f>SUMIF(샘플창고재고!$E:$E,"S282-03.75", 샘플창고재고!$Q:$Q)</f>
        <v>1210</v>
      </c>
      <c r="X10" s="511">
        <f>SUMIF(샘플창고재고!$E:$E,"S282-04.00", 샘플창고재고!$Q:$Q)</f>
        <v>1269</v>
      </c>
      <c r="Y10" s="511">
        <f>SUMIF(샘플창고재고!$E:$E,"S282-04.25", 샘플창고재고!$Q:$Q)</f>
        <v>1108</v>
      </c>
      <c r="Z10" s="511">
        <f>SUMIF(샘플창고재고!$E:$E,"S282-04.50", 샘플창고재고!$Q:$Q)</f>
        <v>1345</v>
      </c>
      <c r="AA10" s="511">
        <f>SUMIF(샘플창고재고!$E:$E,"S282-04.75", 샘플창고재고!$Q:$Q)</f>
        <v>1342</v>
      </c>
      <c r="AB10" s="511">
        <f>SUMIF(샘플창고재고!$E:$E,"S282-05.00", 샘플창고재고!$Q:$Q)</f>
        <v>1382</v>
      </c>
      <c r="AC10" s="520"/>
      <c r="AD10" s="511">
        <f>SUMIF(샘플창고재고!$E:$E,"S282-05.50", 샘플창고재고!$Q:$Q)</f>
        <v>1023</v>
      </c>
      <c r="AE10" s="520"/>
      <c r="AF10" s="511">
        <f>SUMIF(샘플창고재고!$E:$E,"S282-06.00", 샘플창고재고!$Q:$Q)</f>
        <v>1250</v>
      </c>
      <c r="AG10" s="511">
        <f>SUMIF(샘플창고재고!$E:$E,"S282-06.50", 샘플창고재고!$Q:$Q)</f>
        <v>1222</v>
      </c>
      <c r="AH10" s="511">
        <f>SUMIF(샘플창고재고!$E:$E,"S282-07.00", 샘플창고재고!$Q:$Q)</f>
        <v>1346</v>
      </c>
      <c r="AI10" s="511">
        <f>SUMIF(샘플창고재고!$E:$E,"S282-07.50", 샘플창고재고!$Q:$Q)</f>
        <v>1288</v>
      </c>
      <c r="AJ10" s="511">
        <f>SUMIF(샘플창고재고!$E:$E,"S282-08.00", 샘플창고재고!$Q:$Q)</f>
        <v>1315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8" t="s">
        <v>7305</v>
      </c>
      <c r="C12" s="679" t="s">
        <v>7968</v>
      </c>
      <c r="D12" s="517">
        <v>10000</v>
      </c>
      <c r="E12" s="517">
        <f t="shared" ref="E12:E22" si="3">SUM(I12:AJ12)</f>
        <v>6375</v>
      </c>
      <c r="F12" s="519">
        <f t="shared" ref="F12:F22" si="4">E12/D12</f>
        <v>0.63749999999999996</v>
      </c>
      <c r="G12" s="532">
        <f t="shared" ref="G12:G22" si="5">COUNTIF(I12:AJ12,"=0")</f>
        <v>6</v>
      </c>
      <c r="H12" s="533" t="s">
        <v>7962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140</v>
      </c>
      <c r="M12" s="511">
        <f>SUMIF(샘플창고재고!$E:$E,"S668-01.25", 샘플창고재고!$Q:$Q)</f>
        <v>666</v>
      </c>
      <c r="N12" s="511">
        <f>SUMIF(샘플창고재고!$E:$E,"S668-01.50", 샘플창고재고!$Q:$Q)</f>
        <v>189</v>
      </c>
      <c r="O12" s="510">
        <f>SUMIF(샘플창고재고!$E:$E,"S668-01.75", 샘플창고재고!$Q:$Q)</f>
        <v>433</v>
      </c>
      <c r="P12" s="511">
        <f>SUMIF(샘플창고재고!$E:$E,"S668-02.00", 샘플창고재고!$Q:$Q)</f>
        <v>481</v>
      </c>
      <c r="Q12" s="511">
        <f>SUMIF(샘플창고재고!$E:$E,"S668-02.25", 샘플창고재고!$Q:$Q)</f>
        <v>393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135</v>
      </c>
      <c r="T12" s="511">
        <f>SUMIF(샘플창고재고!$E:$E,"S668-03.00", 샘플창고재고!$Q:$Q)</f>
        <v>348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510</v>
      </c>
      <c r="W12" s="511">
        <f>SUMIF(샘플창고재고!$E:$E,"S668-03.75", 샘플창고재고!$Q:$Q)</f>
        <v>124</v>
      </c>
      <c r="X12" s="511">
        <f>SUMIF(샘플창고재고!$E:$E,"S668-04.00", 샘플창고재고!$Q:$Q)</f>
        <v>383</v>
      </c>
      <c r="Y12" s="511">
        <f>SUMIF(샘플창고재고!$E:$E,"S668-04.25", 샘플창고재고!$Q:$Q)</f>
        <v>127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338</v>
      </c>
      <c r="AG12" s="511">
        <f>SUMIF(샘플창고재고!$E:$E,"S668-06.50", 샘플창고재고!$Q:$Q)</f>
        <v>577</v>
      </c>
      <c r="AH12" s="511">
        <f>SUMIF(샘플창고재고!$E:$E,"S668-07.00", 샘플창고재고!$Q:$Q)</f>
        <v>531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8"/>
      <c r="C13" s="679"/>
      <c r="D13" s="517"/>
      <c r="E13" s="517"/>
      <c r="F13" s="519"/>
      <c r="G13" s="532"/>
      <c r="H13" s="533" t="s">
        <v>7963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428</v>
      </c>
      <c r="AA13" s="511">
        <f>SUMIF(샘플창고재고!$E:$E,"S296-04.75", 샘플창고재고!$Q:$Q)</f>
        <v>254</v>
      </c>
      <c r="AB13" s="511">
        <f>SUMIF(샘플창고재고!$E:$E,"S296-05.00", 샘플창고재고!$Q:$Q)</f>
        <v>608</v>
      </c>
      <c r="AC13" s="520"/>
      <c r="AD13" s="511">
        <f>SUMIF(샘플창고재고!$E:$E,"S296-05.50", 샘플창고재고!$Q:$Q)</f>
        <v>836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1" t="s">
        <v>7299</v>
      </c>
      <c r="C14" s="683" t="s">
        <v>7969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7962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2"/>
      <c r="C15" s="684"/>
      <c r="D15" s="517"/>
      <c r="E15" s="517"/>
      <c r="F15" s="519"/>
      <c r="G15" s="532"/>
      <c r="H15" s="533" t="s">
        <v>7963</v>
      </c>
      <c r="I15" s="511">
        <f>SUMIF(샘플창고재고!$E:$E,"S291-00.00", 샘플창고재고!$Q:$Q)</f>
        <v>587</v>
      </c>
      <c r="J15" s="510">
        <f>SUMIF(샘플창고재고!$E:$E,"S291-00.50", 샘플창고재고!$Q:$Q)</f>
        <v>738</v>
      </c>
      <c r="K15" s="510">
        <f>SUMIF(샘플창고재고!$E:$E,"S291-00.75", 샘플창고재고!$Q:$Q)</f>
        <v>849</v>
      </c>
      <c r="L15" s="511">
        <f>SUMIF(샘플창고재고!$E:$E,"S291-01.00", 샘플창고재고!$Q:$Q)</f>
        <v>413</v>
      </c>
      <c r="M15" s="511">
        <f>SUMIF(샘플창고재고!$E:$E,"S291-01.25", 샘플창고재고!$Q:$Q)</f>
        <v>36</v>
      </c>
      <c r="N15" s="511">
        <f>SUMIF(샘플창고재고!$E:$E,"S291-01.50", 샘플창고재고!$Q:$Q)</f>
        <v>599</v>
      </c>
      <c r="O15" s="510">
        <f>SUMIF(샘플창고재고!$E:$E,"S291-01.75", 샘플창고재고!$Q:$Q)</f>
        <v>428</v>
      </c>
      <c r="P15" s="511">
        <f>SUMIF(샘플창고재고!$E:$E,"S291-02.00", 샘플창고재고!$Q:$Q)</f>
        <v>385</v>
      </c>
      <c r="Q15" s="511">
        <f>SUMIF(샘플창고재고!$E:$E,"S291-02.25", 샘플창고재고!$Q:$Q)</f>
        <v>375</v>
      </c>
      <c r="R15" s="511">
        <f>SUMIF(샘플창고재고!$E:$E,"S291-02.50", 샘플창고재고!$Q:$Q)</f>
        <v>379</v>
      </c>
      <c r="S15" s="511">
        <f>SUMIF(샘플창고재고!$E:$E,"S291-02.75", 샘플창고재고!$Q:$Q)</f>
        <v>735</v>
      </c>
      <c r="T15" s="511">
        <f>SUMIF(샘플창고재고!$E:$E,"S291-03.00", 샘플창고재고!$Q:$Q)</f>
        <v>599</v>
      </c>
      <c r="U15" s="511">
        <f>SUMIF(샘플창고재고!$E:$E,"S291-03.25", 샘플창고재고!$Q:$Q)</f>
        <v>405</v>
      </c>
      <c r="V15" s="511">
        <f>SUMIF(샘플창고재고!$E:$E,"S291-03.50", 샘플창고재고!$Q:$Q)</f>
        <v>363</v>
      </c>
      <c r="W15" s="511">
        <f>SUMIF(샘플창고재고!$E:$E,"S291-03.75", 샘플창고재고!$Q:$Q)</f>
        <v>420</v>
      </c>
      <c r="X15" s="511">
        <f>SUMIF(샘플창고재고!$E:$E,"S291-04.00", 샘플창고재고!$Q:$Q)</f>
        <v>386</v>
      </c>
      <c r="Y15" s="511">
        <f>SUMIF(샘플창고재고!$E:$E,"S291-04.25", 샘플창고재고!$Q:$Q)</f>
        <v>46</v>
      </c>
      <c r="Z15" s="511">
        <f>SUMIF(샘플창고재고!$E:$E,"S291-04.50", 샘플창고재고!$Q:$Q)</f>
        <v>809</v>
      </c>
      <c r="AA15" s="511">
        <f>SUMIF(샘플창고재고!$E:$E,"S291-04.75", 샘플창고재고!$Q:$Q)</f>
        <v>398</v>
      </c>
      <c r="AB15" s="511">
        <f>SUMIF(샘플창고재고!$E:$E,"S291-05.00", 샘플창고재고!$Q:$Q)</f>
        <v>488</v>
      </c>
      <c r="AC15" s="520"/>
      <c r="AD15" s="511">
        <f>SUMIF(샘플창고재고!$E:$E,"S291-05.50", 샘플창고재고!$Q:$Q)</f>
        <v>73</v>
      </c>
      <c r="AE15" s="520"/>
      <c r="AF15" s="511">
        <f>SUMIF(샘플창고재고!$E:$E,"S291-06.00", 샘플창고재고!$Q:$Q)</f>
        <v>439</v>
      </c>
      <c r="AG15" s="511">
        <f>SUMIF(샘플창고재고!$E:$E,"S291-06.50", 샘플창고재고!$Q:$Q)</f>
        <v>581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855</v>
      </c>
      <c r="AJ15" s="511">
        <f>SUMIF(샘플창고재고!$E:$E,"S291-08.00", 샘플창고재고!$Q:$Q)</f>
        <v>93</v>
      </c>
    </row>
    <row r="16" spans="2:36" hidden="1">
      <c r="B16" s="678" t="s">
        <v>7301</v>
      </c>
      <c r="C16" s="679" t="s">
        <v>7970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7962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8"/>
      <c r="C17" s="679"/>
      <c r="D17" s="517"/>
      <c r="E17" s="517"/>
      <c r="F17" s="519"/>
      <c r="G17" s="532"/>
      <c r="H17" s="533" t="s">
        <v>7963</v>
      </c>
      <c r="I17" s="511">
        <f>SUMIF(샘플창고재고!$E:$E,"S295-00.00", 샘플창고재고!$Q:$Q)</f>
        <v>267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123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53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277</v>
      </c>
      <c r="Z17" s="511">
        <f>SUMIF(샘플창고재고!$E:$E,"S295-04.50", 샘플창고재고!$Q:$Q)</f>
        <v>50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8" t="s">
        <v>7301</v>
      </c>
      <c r="C18" s="680" t="s">
        <v>7971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7962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8"/>
      <c r="C19" s="680"/>
      <c r="D19" s="517"/>
      <c r="E19" s="517"/>
      <c r="F19" s="519"/>
      <c r="G19" s="532"/>
      <c r="H19" s="533" t="s">
        <v>7963</v>
      </c>
      <c r="I19" s="511">
        <f>SUMIF(샘플창고재고!$E:$E,"S294-00.00", 샘플창고재고!$Q:$Q)</f>
        <v>553</v>
      </c>
      <c r="J19" s="510">
        <f>SUMIF(샘플창고재고!$E:$E,"S294-00.50", 샘플창고재고!$Q:$Q)</f>
        <v>537</v>
      </c>
      <c r="K19" s="510">
        <f>SUMIF(샘플창고재고!$E:$E,"S294-00.75", 샘플창고재고!$Q:$Q)</f>
        <v>437</v>
      </c>
      <c r="L19" s="511">
        <f>SUMIF(샘플창고재고!$E:$E,"S294-01.00", 샘플창고재고!$Q:$Q)</f>
        <v>504</v>
      </c>
      <c r="M19" s="511">
        <f>SUMIF(샘플창고재고!$E:$E,"S294-01.25", 샘플창고재고!$Q:$Q)</f>
        <v>411</v>
      </c>
      <c r="N19" s="511">
        <f>SUMIF(샘플창고재고!$E:$E,"S294-01.50", 샘플창고재고!$Q:$Q)</f>
        <v>440</v>
      </c>
      <c r="O19" s="510">
        <f>SUMIF(샘플창고재고!$E:$E,"S294-01.75", 샘플창고재고!$Q:$Q)</f>
        <v>404</v>
      </c>
      <c r="P19" s="511">
        <f>SUMIF(샘플창고재고!$E:$E,"S294-02.00", 샘플창고재고!$Q:$Q)</f>
        <v>250</v>
      </c>
      <c r="Q19" s="511">
        <f>SUMIF(샘플창고재고!$E:$E,"S294-02.25", 샘플창고재고!$Q:$Q)</f>
        <v>486</v>
      </c>
      <c r="R19" s="511">
        <f>SUMIF(샘플창고재고!$E:$E,"S294-02.50", 샘플창고재고!$Q:$Q)</f>
        <v>249</v>
      </c>
      <c r="S19" s="511">
        <f>SUMIF(샘플창고재고!$E:$E,"S294-02.75", 샘플창고재고!$Q:$Q)</f>
        <v>477</v>
      </c>
      <c r="T19" s="511">
        <f>SUMIF(샘플창고재고!$E:$E,"S294-03.00", 샘플창고재고!$Q:$Q)</f>
        <v>265</v>
      </c>
      <c r="U19" s="511">
        <f>SUMIF(샘플창고재고!$E:$E,"S294-03.25", 샘플창고재고!$Q:$Q)</f>
        <v>350</v>
      </c>
      <c r="V19" s="511">
        <f>SUMIF(샘플창고재고!$E:$E,"S294-03.50", 샘플창고재고!$Q:$Q)</f>
        <v>427</v>
      </c>
      <c r="W19" s="511">
        <f>SUMIF(샘플창고재고!$E:$E,"S294-03.75", 샘플창고재고!$Q:$Q)</f>
        <v>412</v>
      </c>
      <c r="X19" s="511">
        <f>SUMIF(샘플창고재고!$E:$E,"S294-04.00", 샘플창고재고!$Q:$Q)</f>
        <v>379</v>
      </c>
      <c r="Y19" s="511">
        <f>SUMIF(샘플창고재고!$E:$E,"S294-04.25", 샘플창고재고!$Q:$Q)</f>
        <v>324</v>
      </c>
      <c r="Z19" s="511">
        <f>SUMIF(샘플창고재고!$E:$E,"S294-04.50", 샘플창고재고!$Q:$Q)</f>
        <v>397</v>
      </c>
      <c r="AA19" s="511">
        <f>SUMIF(샘플창고재고!$E:$E,"S294-04.75", 샘플창고재고!$Q:$Q)</f>
        <v>288</v>
      </c>
      <c r="AB19" s="511">
        <f>SUMIF(샘플창고재고!$E:$E,"S294-05.00", 샘플창고재고!$Q:$Q)</f>
        <v>453</v>
      </c>
      <c r="AC19" s="520"/>
      <c r="AD19" s="511">
        <f>SUMIF(샘플창고재고!$E:$E,"S294-05.50", 샘플창고재고!$Q:$Q)</f>
        <v>328</v>
      </c>
      <c r="AE19" s="520"/>
      <c r="AF19" s="511">
        <f>SUMIF(샘플창고재고!$E:$E,"S294-06.00", 샘플창고재고!$Q:$Q)</f>
        <v>458</v>
      </c>
      <c r="AG19" s="511">
        <f>SUMIF(샘플창고재고!$E:$E,"S294-06.50", 샘플창고재고!$Q:$Q)</f>
        <v>292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8" t="s">
        <v>7301</v>
      </c>
      <c r="C20" s="679" t="s">
        <v>7972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7962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8"/>
      <c r="C21" s="679"/>
      <c r="D21" s="517"/>
      <c r="E21" s="517"/>
      <c r="F21" s="519"/>
      <c r="G21" s="532"/>
      <c r="H21" s="533" t="s">
        <v>7963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712</v>
      </c>
      <c r="K21" s="510">
        <f>SUMIF(샘플창고재고!$E:$E,"S293-00.75", 샘플창고재고!$Q:$Q)</f>
        <v>836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53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57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8" t="s">
        <v>7299</v>
      </c>
      <c r="C22" s="679" t="s">
        <v>7973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7962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8"/>
      <c r="C23" s="679"/>
      <c r="D23" s="517"/>
      <c r="E23" s="517"/>
      <c r="F23" s="519"/>
      <c r="G23" s="532"/>
      <c r="H23" s="533" t="s">
        <v>7963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8"/>
      <c r="C24" s="678"/>
      <c r="D24" s="518"/>
      <c r="E24" s="518"/>
      <c r="F24" s="518"/>
      <c r="G24" s="534"/>
      <c r="H24" s="534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7482</v>
      </c>
      <c r="C25" s="530" t="s">
        <v>7479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7963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7482</v>
      </c>
      <c r="C26" s="530" t="s">
        <v>7480</v>
      </c>
      <c r="D26" s="517">
        <v>2000</v>
      </c>
      <c r="E26" s="517">
        <f t="shared" si="0"/>
        <v>2398</v>
      </c>
      <c r="F26" s="519">
        <f t="shared" si="1"/>
        <v>1.1990000000000001</v>
      </c>
      <c r="G26" s="532">
        <f t="shared" si="2"/>
        <v>11</v>
      </c>
      <c r="H26" s="533" t="s">
        <v>7963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7482</v>
      </c>
      <c r="C27" s="530" t="s">
        <v>7481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7963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7482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7482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7482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7482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7482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7482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8"/>
      <c r="C34" s="678"/>
      <c r="D34" s="518"/>
      <c r="E34" s="518"/>
      <c r="F34" s="518"/>
      <c r="G34" s="534"/>
      <c r="H34" s="534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8" t="s">
        <v>7290</v>
      </c>
      <c r="C35" s="679" t="s">
        <v>7974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7962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8"/>
      <c r="C36" s="679"/>
      <c r="D36" s="517"/>
      <c r="E36" s="518"/>
      <c r="F36" s="519"/>
      <c r="G36" s="532"/>
      <c r="H36" s="533" t="s">
        <v>7963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8" t="s">
        <v>7291</v>
      </c>
      <c r="C37" s="679" t="s">
        <v>7975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7962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8"/>
      <c r="C38" s="679"/>
      <c r="D38" s="517"/>
      <c r="E38" s="517"/>
      <c r="F38" s="519"/>
      <c r="G38" s="532"/>
      <c r="H38" s="533" t="s">
        <v>7963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8" t="s">
        <v>7291</v>
      </c>
      <c r="C39" s="679" t="s">
        <v>7976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7962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8"/>
      <c r="C40" s="679"/>
      <c r="D40" s="517"/>
      <c r="E40" s="517"/>
      <c r="F40" s="519"/>
      <c r="G40" s="532"/>
      <c r="H40" s="533" t="s">
        <v>7963</v>
      </c>
      <c r="I40" s="511">
        <f>SUMIF(샘플창고재고!$E:$E,"S278-00.00", 샘플창고재고!$Q:$Q)</f>
        <v>441</v>
      </c>
      <c r="J40" s="510">
        <f>SUMIF(샘플창고재고!$E:$E,"S278-00.50", 샘플창고재고!$Q:$Q)</f>
        <v>467</v>
      </c>
      <c r="K40" s="510">
        <f>SUMIF(샘플창고재고!$E:$E,"S278-00.75", 샘플창고재고!$Q:$Q)</f>
        <v>171</v>
      </c>
      <c r="L40" s="511">
        <f>SUMIF(샘플창고재고!$E:$E,"S278-01.00", 샘플창고재고!$Q:$Q)</f>
        <v>73</v>
      </c>
      <c r="M40" s="511">
        <f>SUMIF(샘플창고재고!$E:$E,"S278-01.25", 샘플창고재고!$Q:$Q)</f>
        <v>661</v>
      </c>
      <c r="N40" s="511">
        <f>SUMIF(샘플창고재고!$E:$E,"S278-01.50", 샘플창고재고!$Q:$Q)</f>
        <v>333</v>
      </c>
      <c r="O40" s="510">
        <f>SUMIF(샘플창고재고!$E:$E,"S278-01.75", 샘플창고재고!$Q:$Q)</f>
        <v>975</v>
      </c>
      <c r="P40" s="511">
        <f>SUMIF(샘플창고재고!$E:$E,"S278-02.00", 샘플창고재고!$Q:$Q)</f>
        <v>740</v>
      </c>
      <c r="Q40" s="511">
        <f>SUMIF(샘플창고재고!$E:$E,"S278-02.25", 샘플창고재고!$Q:$Q)</f>
        <v>789</v>
      </c>
      <c r="R40" s="511">
        <f>SUMIF(샘플창고재고!$E:$E,"S278-02.50", 샘플창고재고!$Q:$Q)</f>
        <v>1124</v>
      </c>
      <c r="S40" s="511">
        <f>SUMIF(샘플창고재고!$E:$E,"S278-02.75", 샘플창고재고!$Q:$Q)</f>
        <v>144</v>
      </c>
      <c r="T40" s="511">
        <f>SUMIF(샘플창고재고!$E:$E,"S278-03.00", 샘플창고재고!$Q:$Q)</f>
        <v>283</v>
      </c>
      <c r="U40" s="511">
        <f>SUMIF(샘플창고재고!$E:$E,"S278-03.25", 샘플창고재고!$Q:$Q)</f>
        <v>431</v>
      </c>
      <c r="V40" s="511">
        <f>SUMIF(샘플창고재고!$E:$E,"S278-03.50", 샘플창고재고!$Q:$Q)</f>
        <v>124</v>
      </c>
      <c r="W40" s="511">
        <f>SUMIF(샘플창고재고!$E:$E,"S278-03.75", 샘플창고재고!$Q:$Q)</f>
        <v>780</v>
      </c>
      <c r="X40" s="511">
        <f>SUMIF(샘플창고재고!$E:$E,"S278-04.00", 샘플창고재고!$Q:$Q)</f>
        <v>642</v>
      </c>
      <c r="Y40" s="511">
        <f>SUMIF(샘플창고재고!$E:$E,"S278-04.25", 샘플창고재고!$Q:$Q)</f>
        <v>421</v>
      </c>
      <c r="Z40" s="511">
        <f>SUMIF(샘플창고재고!$E:$E,"S278-04.50", 샘플창고재고!$Q:$Q)</f>
        <v>267</v>
      </c>
      <c r="AA40" s="511">
        <f>SUMIF(샘플창고재고!$E:$E,"S278-04.75", 샘플창고재고!$Q:$Q)</f>
        <v>934</v>
      </c>
      <c r="AB40" s="511">
        <f>SUMIF(샘플창고재고!$E:$E,"S278-05.00", 샘플창고재고!$Q:$Q)</f>
        <v>593</v>
      </c>
      <c r="AC40" s="511">
        <f>SUMIF(샘플창고재고!$E:$E,"S278-05.25", 샘플창고재고!$Q:$Q)</f>
        <v>806</v>
      </c>
      <c r="AD40" s="511">
        <f>SUMIF(샘플창고재고!$E:$E,"S278-05.50", 샘플창고재고!$Q:$Q)</f>
        <v>401</v>
      </c>
      <c r="AE40" s="511">
        <f>SUMIF(샘플창고재고!$E:$E,"S278-05.75", 샘플창고재고!$Q:$Q)</f>
        <v>589</v>
      </c>
      <c r="AF40" s="511">
        <f>SUMIF(샘플창고재고!$E:$E,"S278-06.00", 샘플창고재고!$Q:$Q)</f>
        <v>405</v>
      </c>
      <c r="AG40" s="511">
        <f>SUMIF(샘플창고재고!$E:$E,"S278-06.50", 샘플창고재고!$Q:$Q)</f>
        <v>189</v>
      </c>
      <c r="AH40" s="511">
        <f>SUMIF(샘플창고재고!$E:$E,"S278-07.00", 샘플창고재고!$Q:$Q)</f>
        <v>329</v>
      </c>
      <c r="AI40" s="511">
        <f>SUMIF(샘플창고재고!$E:$E,"S278-07.50", 샘플창고재고!$Q:$Q)</f>
        <v>1196</v>
      </c>
      <c r="AJ40" s="511">
        <f>SUMIF(샘플창고재고!$E:$E,"S278-08.00", 샘플창고재고!$Q:$Q)</f>
        <v>320</v>
      </c>
    </row>
    <row r="41" spans="2:36" hidden="1">
      <c r="B41" s="678" t="s">
        <v>7291</v>
      </c>
      <c r="C41" s="679" t="s">
        <v>7977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7962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8"/>
      <c r="C42" s="679"/>
      <c r="D42" s="517"/>
      <c r="E42" s="517"/>
      <c r="F42" s="519"/>
      <c r="G42" s="532"/>
      <c r="H42" s="533" t="s">
        <v>7963</v>
      </c>
      <c r="I42" s="511">
        <f>SUMIF(샘플창고재고!$E:$E,"S277-00.00", 샘플창고재고!$Q:$Q)</f>
        <v>340</v>
      </c>
      <c r="J42" s="510">
        <f>SUMIF(샘플창고재고!$E:$E,"S277-00.50", 샘플창고재고!$Q:$Q)</f>
        <v>982</v>
      </c>
      <c r="K42" s="510">
        <f>SUMIF(샘플창고재고!$E:$E,"S277-00.75", 샘플창고재고!$Q:$Q)</f>
        <v>168</v>
      </c>
      <c r="L42" s="511">
        <f>SUMIF(샘플창고재고!$E:$E,"S277-01.00", 샘플창고재고!$Q:$Q)</f>
        <v>306</v>
      </c>
      <c r="M42" s="511">
        <f>SUMIF(샘플창고재고!$E:$E,"S277-01.25", 샘플창고재고!$Q:$Q)</f>
        <v>680</v>
      </c>
      <c r="N42" s="511">
        <f>SUMIF(샘플창고재고!$E:$E,"S277-01.50", 샘플창고재고!$Q:$Q)</f>
        <v>263</v>
      </c>
      <c r="O42" s="510">
        <f>SUMIF(샘플창고재고!$E:$E,"S277-01.75", 샘플창고재고!$Q:$Q)</f>
        <v>257</v>
      </c>
      <c r="P42" s="511">
        <f>SUMIF(샘플창고재고!$E:$E,"S277-02.00", 샘플창고재고!$Q:$Q)</f>
        <v>352</v>
      </c>
      <c r="Q42" s="511">
        <f>SUMIF(샘플창고재고!$E:$E,"S277-02.25", 샘플창고재고!$Q:$Q)</f>
        <v>512</v>
      </c>
      <c r="R42" s="511">
        <f>SUMIF(샘플창고재고!$E:$E,"S277-02.50", 샘플창고재고!$Q:$Q)</f>
        <v>255</v>
      </c>
      <c r="S42" s="511">
        <f>SUMIF(샘플창고재고!$E:$E,"S277-02.75", 샘플창고재고!$Q:$Q)</f>
        <v>406</v>
      </c>
      <c r="T42" s="511">
        <f>SUMIF(샘플창고재고!$E:$E,"S277-03.00", 샘플창고재고!$Q:$Q)</f>
        <v>405</v>
      </c>
      <c r="U42" s="511">
        <f>SUMIF(샘플창고재고!$E:$E,"S277-03.25", 샘플창고재고!$Q:$Q)</f>
        <v>461</v>
      </c>
      <c r="V42" s="511">
        <f>SUMIF(샘플창고재고!$E:$E,"S277-03.50", 샘플창고재고!$Q:$Q)</f>
        <v>196</v>
      </c>
      <c r="W42" s="511">
        <f>SUMIF(샘플창고재고!$E:$E,"S277-03.75", 샘플창고재고!$Q:$Q)</f>
        <v>590</v>
      </c>
      <c r="X42" s="511">
        <f>SUMIF(샘플창고재고!$E:$E,"S277-04.00", 샘플창고재고!$Q:$Q)</f>
        <v>639</v>
      </c>
      <c r="Y42" s="511">
        <f>SUMIF(샘플창고재고!$E:$E,"S277-04.25", 샘플창고재고!$Q:$Q)</f>
        <v>415</v>
      </c>
      <c r="Z42" s="511">
        <f>SUMIF(샘플창고재고!$E:$E,"S277-04.50", 샘플창고재고!$Q:$Q)</f>
        <v>331</v>
      </c>
      <c r="AA42" s="511">
        <f>SUMIF(샘플창고재고!$E:$E,"S277-04.75", 샘플창고재고!$Q:$Q)</f>
        <v>872</v>
      </c>
      <c r="AB42" s="511">
        <f>SUMIF(샘플창고재고!$E:$E,"S277-05.00", 샘플창고재고!$Q:$Q)</f>
        <v>615</v>
      </c>
      <c r="AC42" s="511">
        <f>SUMIF(샘플창고재고!$E:$E,"S277-05.25", 샘플창고재고!$Q:$Q)</f>
        <v>184</v>
      </c>
      <c r="AD42" s="511">
        <f>SUMIF(샘플창고재고!$E:$E,"S277-05.50", 샘플창고재고!$Q:$Q)</f>
        <v>215</v>
      </c>
      <c r="AE42" s="511">
        <f>SUMIF(샘플창고재고!$E:$E,"S277-05.75", 샘플창고재고!$Q:$Q)</f>
        <v>406</v>
      </c>
      <c r="AF42" s="511">
        <f>SUMIF(샘플창고재고!$E:$E,"S277-06.00", 샘플창고재고!$Q:$Q)</f>
        <v>314</v>
      </c>
      <c r="AG42" s="511">
        <f>SUMIF(샘플창고재고!$E:$E,"S277-06.50", 샘플창고재고!$Q:$Q)</f>
        <v>240</v>
      </c>
      <c r="AH42" s="511">
        <f>SUMIF(샘플창고재고!$E:$E,"S277-07.00", 샘플창고재고!$Q:$Q)</f>
        <v>241</v>
      </c>
      <c r="AI42" s="511">
        <f>SUMIF(샘플창고재고!$E:$E,"S277-07.50", 샘플창고재고!$Q:$Q)</f>
        <v>536</v>
      </c>
      <c r="AJ42" s="511">
        <f>SUMIF(샘플창고재고!$E:$E,"S277-08.00", 샘플창고재고!$Q:$Q)</f>
        <v>447</v>
      </c>
    </row>
    <row r="43" spans="2:36" hidden="1">
      <c r="B43" s="678" t="s">
        <v>7294</v>
      </c>
      <c r="C43" s="679" t="s">
        <v>7978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7962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8"/>
      <c r="C44" s="679"/>
      <c r="D44" s="517"/>
      <c r="E44" s="517"/>
      <c r="F44" s="519"/>
      <c r="G44" s="532"/>
      <c r="H44" s="533" t="s">
        <v>7963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8" t="s">
        <v>7294</v>
      </c>
      <c r="C45" s="679" t="s">
        <v>7979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7962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8"/>
      <c r="C46" s="679"/>
      <c r="D46" s="517"/>
      <c r="E46" s="517"/>
      <c r="F46" s="519"/>
      <c r="G46" s="532"/>
      <c r="H46" s="533" t="s">
        <v>7963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8" t="s">
        <v>7297</v>
      </c>
      <c r="C47" s="679" t="s">
        <v>7980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7962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8"/>
      <c r="C48" s="679"/>
      <c r="D48" s="487"/>
      <c r="E48" s="487"/>
      <c r="F48" s="487"/>
      <c r="G48" s="487"/>
      <c r="H48" s="533" t="s">
        <v>7963</v>
      </c>
      <c r="I48" s="520"/>
      <c r="J48" s="510">
        <f>SUMIF(샘플창고재고!$E:$E,"S281-00.50", 샘플창고재고!$Q:$Q)</f>
        <v>150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266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203</v>
      </c>
      <c r="P48" s="511">
        <f>SUMIF(샘플창고재고!$E:$E,"S281-02.00", 샘플창고재고!$Q:$Q)</f>
        <v>236</v>
      </c>
      <c r="Q48" s="511">
        <f>SUMIF(샘플창고재고!$E:$E,"S281-02.25", 샘플창고재고!$Q:$Q)</f>
        <v>517</v>
      </c>
      <c r="R48" s="511">
        <f>SUMIF(샘플창고재고!$E:$E,"S281-02.50", 샘플창고재고!$Q:$Q)</f>
        <v>317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574</v>
      </c>
      <c r="AA48" s="511">
        <f>SUMIF(샘플창고재고!$E:$E,"S281-04.75", 샘플창고재고!$Q:$Q)</f>
        <v>427</v>
      </c>
      <c r="AB48" s="511">
        <f>SUMIF(샘플창고재고!$E:$E,"S281-05.00", 샘플창고재고!$Q:$Q)</f>
        <v>293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432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260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418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84" priority="44">
      <formula>EY4="경고"</formula>
    </cfRule>
    <cfRule type="expression" dxfId="83" priority="45">
      <formula>DO4="증가"</formula>
    </cfRule>
    <cfRule type="expression" dxfId="82" priority="46">
      <formula>I4&lt;10</formula>
    </cfRule>
    <cfRule type="cellIs" dxfId="81" priority="47" operator="lessThan">
      <formula>6</formula>
    </cfRule>
  </conditionalFormatting>
  <conditionalFormatting sqref="I14:AB23 AD15:AD23 AF15:AJ23">
    <cfRule type="cellIs" dxfId="80" priority="8" operator="lessThan">
      <formula>6</formula>
    </cfRule>
  </conditionalFormatting>
  <conditionalFormatting sqref="I14:AB23">
    <cfRule type="expression" dxfId="79" priority="5">
      <formula>EY14="경고"</formula>
    </cfRule>
    <cfRule type="expression" dxfId="78" priority="6">
      <formula>DO14="증가"</formula>
    </cfRule>
    <cfRule type="expression" dxfId="77" priority="7">
      <formula>I14&lt;10</formula>
    </cfRule>
  </conditionalFormatting>
  <conditionalFormatting sqref="I28:AB33 AF28:AJ33">
    <cfRule type="expression" dxfId="76" priority="82">
      <formula>DO28="증가"</formula>
    </cfRule>
    <cfRule type="expression" dxfId="75" priority="81">
      <formula>EY28="경고"</formula>
    </cfRule>
  </conditionalFormatting>
  <conditionalFormatting sqref="I28:AB33 AF32:AJ33 AD25:AD33">
    <cfRule type="cellIs" dxfId="74" priority="84" operator="lessThan">
      <formula>6</formula>
    </cfRule>
  </conditionalFormatting>
  <conditionalFormatting sqref="I28:AB33 AF32:AJ33">
    <cfRule type="expression" dxfId="73" priority="83">
      <formula>I28&lt;30</formula>
    </cfRule>
  </conditionalFormatting>
  <conditionalFormatting sqref="I3:AJ3">
    <cfRule type="expression" dxfId="72" priority="160">
      <formula>#REF!="경고"</formula>
    </cfRule>
    <cfRule type="expression" dxfId="71" priority="159">
      <formula>#REF!="증가"</formula>
    </cfRule>
    <cfRule type="expression" dxfId="70" priority="161">
      <formula>#REF!&lt;50</formula>
    </cfRule>
  </conditionalFormatting>
  <conditionalFormatting sqref="I11:AJ11">
    <cfRule type="expression" dxfId="69" priority="150">
      <formula>#REF!="증가"</formula>
    </cfRule>
    <cfRule type="expression" dxfId="68" priority="162">
      <formula>#REF!&lt;50</formula>
    </cfRule>
    <cfRule type="expression" dxfId="67" priority="151">
      <formula>#REF!="경고"</formula>
    </cfRule>
  </conditionalFormatting>
  <conditionalFormatting sqref="I24:AJ24">
    <cfRule type="expression" dxfId="66" priority="63">
      <formula>#REF!="증가"</formula>
    </cfRule>
    <cfRule type="expression" dxfId="65" priority="64">
      <formula>#REF!="경고"</formula>
    </cfRule>
    <cfRule type="expression" dxfId="64" priority="65">
      <formula>#REF!&lt;50</formula>
    </cfRule>
  </conditionalFormatting>
  <conditionalFormatting sqref="I34:AJ34">
    <cfRule type="expression" dxfId="63" priority="56">
      <formula>#REF!="증가"</formula>
    </cfRule>
    <cfRule type="expression" dxfId="62" priority="57">
      <formula>#REF!="경고"</formula>
    </cfRule>
    <cfRule type="expression" dxfId="61" priority="58">
      <formula>#REF!&lt;10</formula>
    </cfRule>
  </conditionalFormatting>
  <conditionalFormatting sqref="I35:AJ46 J47:AJ47">
    <cfRule type="expression" dxfId="60" priority="72">
      <formula>I35&lt;50</formula>
    </cfRule>
    <cfRule type="cellIs" dxfId="59" priority="73" operator="lessThan">
      <formula>6</formula>
    </cfRule>
  </conditionalFormatting>
  <conditionalFormatting sqref="I35:AJ46">
    <cfRule type="expression" dxfId="58" priority="70">
      <formula>EY35="경고"</formula>
    </cfRule>
    <cfRule type="expression" dxfId="57" priority="71">
      <formula>DO35="증가"</formula>
    </cfRule>
  </conditionalFormatting>
  <conditionalFormatting sqref="J12:AB13 AD12:AD13 AF12:AJ13">
    <cfRule type="expression" dxfId="56" priority="40">
      <formula>EZ12="경고"</formula>
    </cfRule>
    <cfRule type="expression" dxfId="55" priority="41">
      <formula>DP12="증가"</formula>
    </cfRule>
    <cfRule type="expression" dxfId="54" priority="42">
      <formula>J12&lt;10</formula>
    </cfRule>
  </conditionalFormatting>
  <conditionalFormatting sqref="J12:AB13 AD12:AD14 AF12:AJ14">
    <cfRule type="cellIs" dxfId="53" priority="43" operator="lessThan">
      <formula>6</formula>
    </cfRule>
  </conditionalFormatting>
  <conditionalFormatting sqref="J47:AJ48">
    <cfRule type="expression" dxfId="52" priority="1">
      <formula>EZ47="경고"</formula>
    </cfRule>
    <cfRule type="expression" dxfId="51" priority="2">
      <formula>DP47="증가"</formula>
    </cfRule>
  </conditionalFormatting>
  <conditionalFormatting sqref="J48:AJ48">
    <cfRule type="cellIs" dxfId="50" priority="4" operator="lessThan">
      <formula>6</formula>
    </cfRule>
    <cfRule type="expression" dxfId="49" priority="3">
      <formula>J48&lt;10</formula>
    </cfRule>
  </conditionalFormatting>
  <conditionalFormatting sqref="L25:AB27 AF25:AH27">
    <cfRule type="expression" dxfId="48" priority="95">
      <formula>FB25="경고"</formula>
    </cfRule>
    <cfRule type="expression" dxfId="47" priority="96">
      <formula>DR25="증가"</formula>
    </cfRule>
  </conditionalFormatting>
  <conditionalFormatting sqref="L25:AB27 AF26:AH27">
    <cfRule type="expression" dxfId="46" priority="97">
      <formula>L25&lt;30</formula>
    </cfRule>
    <cfRule type="cellIs" dxfId="45" priority="98" operator="lessThan">
      <formula>6</formula>
    </cfRule>
  </conditionalFormatting>
  <conditionalFormatting sqref="AD14 AF14:AJ14">
    <cfRule type="expression" dxfId="44" priority="152">
      <formula>FT14="경고"</formula>
    </cfRule>
    <cfRule type="expression" dxfId="43" priority="153">
      <formula>EJ14="증가"</formula>
    </cfRule>
    <cfRule type="expression" dxfId="42" priority="154">
      <formula>AD14&lt;10</formula>
    </cfRule>
  </conditionalFormatting>
  <conditionalFormatting sqref="AD15:AD23 AF15:AJ23">
    <cfRule type="expression" dxfId="41" priority="11">
      <formula>AD15&lt;10</formula>
    </cfRule>
    <cfRule type="expression" dxfId="40" priority="10">
      <formula>EJ15="증가"</formula>
    </cfRule>
    <cfRule type="expression" dxfId="39" priority="9">
      <formula>FT15="경고"</formula>
    </cfRule>
  </conditionalFormatting>
  <conditionalFormatting sqref="AD25:AD33">
    <cfRule type="expression" dxfId="38" priority="78">
      <formula>FT25="경고"</formula>
    </cfRule>
    <cfRule type="expression" dxfId="37" priority="79">
      <formula>EJ25="증가"</formula>
    </cfRule>
    <cfRule type="expression" dxfId="36" priority="80">
      <formula>AD25&lt;20</formula>
    </cfRule>
  </conditionalFormatting>
  <conditionalFormatting sqref="AF25:AG25">
    <cfRule type="expression" dxfId="35" priority="135">
      <formula>AF25&lt;20</formula>
    </cfRule>
  </conditionalFormatting>
  <conditionalFormatting sqref="AF28:AG28">
    <cfRule type="expression" dxfId="34" priority="145">
      <formula>AF28&lt;20</formula>
    </cfRule>
  </conditionalFormatting>
  <conditionalFormatting sqref="AF31:AG31">
    <cfRule type="expression" dxfId="33" priority="125">
      <formula>AF31&lt;20</formula>
    </cfRule>
  </conditionalFormatting>
  <conditionalFormatting sqref="AF25:AH25">
    <cfRule type="cellIs" dxfId="32" priority="139" operator="lessThan">
      <formula>6</formula>
    </cfRule>
  </conditionalFormatting>
  <conditionalFormatting sqref="AF28:AJ28">
    <cfRule type="cellIs" dxfId="31" priority="149" operator="lessThan">
      <formula>6</formula>
    </cfRule>
  </conditionalFormatting>
  <conditionalFormatting sqref="AF29:AJ30">
    <cfRule type="expression" dxfId="30" priority="90">
      <formula>AF29&lt;30</formula>
    </cfRule>
    <cfRule type="cellIs" dxfId="29" priority="91" operator="lessThan">
      <formula>6</formula>
    </cfRule>
  </conditionalFormatting>
  <conditionalFormatting sqref="AF31:AJ31">
    <cfRule type="cellIs" dxfId="28" priority="129" operator="lessThan">
      <formula>6</formula>
    </cfRule>
  </conditionalFormatting>
  <conditionalFormatting sqref="AH25">
    <cfRule type="expression" dxfId="27" priority="133">
      <formula>AH25&lt;30</formula>
    </cfRule>
  </conditionalFormatting>
  <conditionalFormatting sqref="AH28:AJ28">
    <cfRule type="expression" dxfId="26" priority="143">
      <formula>AH28&lt;30</formula>
    </cfRule>
  </conditionalFormatting>
  <conditionalFormatting sqref="AH31:AJ31">
    <cfRule type="expression" dxfId="25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19"/>
  <sheetViews>
    <sheetView workbookViewId="0">
      <selection activeCell="B4" sqref="B4:H19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4847</v>
      </c>
      <c r="C4" s="538" t="s">
        <v>5876</v>
      </c>
      <c r="D4" s="685" t="s">
        <v>6392</v>
      </c>
      <c r="E4" s="685"/>
      <c r="F4" s="685"/>
      <c r="G4" s="685"/>
      <c r="H4" s="685"/>
    </row>
    <row r="5" spans="2:8">
      <c r="B5" s="485" t="s">
        <v>8820</v>
      </c>
      <c r="C5" s="500" t="s">
        <v>12041</v>
      </c>
      <c r="D5" s="486">
        <v>-4.25</v>
      </c>
      <c r="E5" s="486">
        <v>-7.5</v>
      </c>
      <c r="F5" s="486">
        <v>-8</v>
      </c>
      <c r="G5" s="487"/>
      <c r="H5" s="487"/>
    </row>
    <row r="6" spans="2:8">
      <c r="B6" s="485" t="s">
        <v>8877</v>
      </c>
      <c r="C6" s="500" t="s">
        <v>12042</v>
      </c>
      <c r="D6" s="486">
        <v>-3.5</v>
      </c>
      <c r="E6" s="541"/>
      <c r="F6" s="541"/>
      <c r="G6" s="487"/>
      <c r="H6" s="487"/>
    </row>
    <row r="7" spans="2:8">
      <c r="B7" s="485" t="s">
        <v>8879</v>
      </c>
      <c r="C7" s="500" t="s">
        <v>12043</v>
      </c>
      <c r="D7" s="486">
        <v>-4.25</v>
      </c>
      <c r="E7" s="541"/>
      <c r="F7" s="541"/>
      <c r="G7" s="487"/>
      <c r="H7" s="487"/>
    </row>
    <row r="8" spans="2:8">
      <c r="B8" s="485" t="s">
        <v>5</v>
      </c>
      <c r="C8" s="500" t="s">
        <v>12044</v>
      </c>
      <c r="D8" s="486">
        <v>-2.75</v>
      </c>
      <c r="E8" s="486">
        <v>-4</v>
      </c>
      <c r="F8" s="541"/>
      <c r="G8" s="487"/>
      <c r="H8" s="487"/>
    </row>
    <row r="9" spans="2:8">
      <c r="B9" s="485" t="s">
        <v>681</v>
      </c>
      <c r="C9" s="500" t="s">
        <v>12045</v>
      </c>
      <c r="D9" s="486">
        <v>-3.25</v>
      </c>
      <c r="E9" s="486">
        <v>-4</v>
      </c>
      <c r="F9" s="486">
        <v>-5.75</v>
      </c>
      <c r="G9" s="487"/>
      <c r="H9" s="487"/>
    </row>
    <row r="10" spans="2:8">
      <c r="B10" s="485" t="s">
        <v>3425</v>
      </c>
      <c r="C10" s="500" t="s">
        <v>9194</v>
      </c>
      <c r="D10" s="486">
        <v>-0.75</v>
      </c>
      <c r="E10" s="541"/>
      <c r="F10" s="541"/>
      <c r="G10" s="487"/>
      <c r="H10" s="487"/>
    </row>
    <row r="11" spans="2:8">
      <c r="B11" s="540" t="s">
        <v>3363</v>
      </c>
      <c r="C11" s="500" t="s">
        <v>12046</v>
      </c>
      <c r="D11" s="486">
        <v>-8</v>
      </c>
      <c r="E11" s="486">
        <v>-8.5</v>
      </c>
      <c r="F11" s="541"/>
      <c r="G11" s="487"/>
      <c r="H11" s="487"/>
    </row>
    <row r="12" spans="2:8">
      <c r="B12" s="485" t="s">
        <v>3344</v>
      </c>
      <c r="C12" s="500" t="s">
        <v>9190</v>
      </c>
      <c r="D12" s="486">
        <v>-1.25</v>
      </c>
      <c r="E12" s="486">
        <v>-7</v>
      </c>
      <c r="F12" s="486">
        <v>-7.5</v>
      </c>
      <c r="G12" s="486">
        <v>-8</v>
      </c>
      <c r="H12" s="486">
        <v>-8.5</v>
      </c>
    </row>
    <row r="13" spans="2:8">
      <c r="B13" s="485" t="s">
        <v>3345</v>
      </c>
      <c r="C13" s="500" t="s">
        <v>9191</v>
      </c>
      <c r="D13" s="486">
        <v>-7</v>
      </c>
      <c r="E13" s="487"/>
      <c r="F13" s="487"/>
      <c r="G13" s="487"/>
      <c r="H13" s="487"/>
    </row>
    <row r="14" spans="2:8">
      <c r="B14" s="485" t="s">
        <v>3347</v>
      </c>
      <c r="C14" s="500" t="s">
        <v>11864</v>
      </c>
      <c r="D14" s="486">
        <v>-3.25</v>
      </c>
      <c r="E14" s="486">
        <v>-3.5</v>
      </c>
      <c r="F14" s="487"/>
      <c r="G14" s="487"/>
      <c r="H14" s="487"/>
    </row>
    <row r="15" spans="2:8">
      <c r="B15" s="485" t="s">
        <v>3366</v>
      </c>
      <c r="C15" s="500" t="s">
        <v>11865</v>
      </c>
      <c r="D15" s="486">
        <v>-6.5</v>
      </c>
      <c r="E15" s="487"/>
      <c r="F15" s="487"/>
      <c r="G15" s="487"/>
      <c r="H15" s="487"/>
    </row>
    <row r="16" spans="2:8">
      <c r="B16" s="539" t="s">
        <v>3350</v>
      </c>
      <c r="C16" s="500" t="s">
        <v>11866</v>
      </c>
      <c r="D16" s="486">
        <v>-1.75</v>
      </c>
      <c r="E16" s="486">
        <v>-2</v>
      </c>
      <c r="F16" s="487"/>
      <c r="G16" s="487"/>
      <c r="H16" s="487"/>
    </row>
    <row r="17" spans="2:8">
      <c r="B17" s="539" t="s">
        <v>3351</v>
      </c>
      <c r="C17" s="500" t="s">
        <v>11866</v>
      </c>
      <c r="D17" s="486">
        <v>-9</v>
      </c>
      <c r="E17" s="541"/>
      <c r="F17" s="541"/>
      <c r="G17" s="487"/>
      <c r="H17" s="487"/>
    </row>
    <row r="18" spans="2:8">
      <c r="B18" s="539" t="s">
        <v>3352</v>
      </c>
      <c r="C18" s="500" t="s">
        <v>11866</v>
      </c>
      <c r="D18" s="486">
        <v>-2.5</v>
      </c>
      <c r="E18" s="486">
        <v>-3</v>
      </c>
      <c r="F18" s="486">
        <v>-9</v>
      </c>
      <c r="G18" s="487"/>
      <c r="H18" s="487"/>
    </row>
    <row r="19" spans="2:8">
      <c r="B19" s="540" t="s">
        <v>3354</v>
      </c>
      <c r="C19" s="500" t="s">
        <v>11867</v>
      </c>
      <c r="D19" s="486" t="s">
        <v>10</v>
      </c>
      <c r="E19" s="486">
        <v>-2.25</v>
      </c>
      <c r="F19" s="486">
        <v>-2.5</v>
      </c>
      <c r="G19" s="487"/>
      <c r="H19" s="487"/>
    </row>
  </sheetData>
  <mergeCells count="1">
    <mergeCell ref="D4:H4"/>
  </mergeCells>
  <phoneticPr fontId="1" type="noConversion"/>
  <conditionalFormatting sqref="D13">
    <cfRule type="expression" dxfId="24" priority="54">
      <formula>#REF!&lt;30</formula>
    </cfRule>
    <cfRule type="expression" dxfId="23" priority="53">
      <formula>#REF!="경고"</formula>
    </cfRule>
    <cfRule type="expression" dxfId="22" priority="52">
      <formula>#REF!="증가"</formula>
    </cfRule>
  </conditionalFormatting>
  <conditionalFormatting sqref="D15">
    <cfRule type="expression" dxfId="21" priority="47">
      <formula>#REF!="경고"</formula>
    </cfRule>
    <cfRule type="expression" dxfId="20" priority="46">
      <formula>#REF!="증가"</formula>
    </cfRule>
    <cfRule type="expression" dxfId="19" priority="48">
      <formula>#REF!&lt;30</formula>
    </cfRule>
  </conditionalFormatting>
  <conditionalFormatting sqref="D8:E8">
    <cfRule type="expression" dxfId="18" priority="21">
      <formula>#REF!&lt;20</formula>
    </cfRule>
  </conditionalFormatting>
  <conditionalFormatting sqref="D14:E14">
    <cfRule type="expression" dxfId="17" priority="51">
      <formula>#REF!&lt;30</formula>
    </cfRule>
    <cfRule type="expression" dxfId="16" priority="50">
      <formula>#REF!="경고"</formula>
    </cfRule>
    <cfRule type="expression" dxfId="15" priority="49">
      <formula>#REF!="증가"</formula>
    </cfRule>
  </conditionalFormatting>
  <conditionalFormatting sqref="D16:E16">
    <cfRule type="expression" dxfId="14" priority="44">
      <formula>#REF!="경고"</formula>
    </cfRule>
    <cfRule type="expression" dxfId="13" priority="45">
      <formula>#REF!&lt;30</formula>
    </cfRule>
    <cfRule type="expression" dxfId="12" priority="43">
      <formula>#REF!="증가"</formula>
    </cfRule>
  </conditionalFormatting>
  <conditionalFormatting sqref="D5:F7">
    <cfRule type="expression" dxfId="11" priority="24">
      <formula>#REF!&lt;30</formula>
    </cfRule>
  </conditionalFormatting>
  <conditionalFormatting sqref="D5:F11">
    <cfRule type="expression" dxfId="10" priority="13">
      <formula>#REF!="증가"</formula>
    </cfRule>
    <cfRule type="expression" dxfId="9" priority="14">
      <formula>#REF!="경고"</formula>
    </cfRule>
  </conditionalFormatting>
  <conditionalFormatting sqref="D9:F11">
    <cfRule type="expression" dxfId="8" priority="15">
      <formula>#REF!&lt;20</formula>
    </cfRule>
  </conditionalFormatting>
  <conditionalFormatting sqref="D17:F19">
    <cfRule type="expression" dxfId="7" priority="2">
      <formula>#REF!="경고"</formula>
    </cfRule>
    <cfRule type="expression" dxfId="6" priority="3">
      <formula>#REF!&lt;30</formula>
    </cfRule>
    <cfRule type="expression" dxfId="5" priority="1">
      <formula>#REF!="증가"</formula>
    </cfRule>
  </conditionalFormatting>
  <conditionalFormatting sqref="D12:H12">
    <cfRule type="expression" dxfId="4" priority="12">
      <formula>#REF!&lt;30</formula>
    </cfRule>
    <cfRule type="expression" dxfId="3" priority="11">
      <formula>#REF!="경고"</formula>
    </cfRule>
    <cfRule type="expression" dxfId="2" priority="10">
      <formula>#REF!="증가"</formula>
    </cfRule>
  </conditionalFormatting>
  <conditionalFormatting sqref="F8">
    <cfRule type="expression" dxfId="1" priority="30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9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4669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4485</v>
      </c>
      <c r="B2" s="183" t="s">
        <v>4486</v>
      </c>
      <c r="C2" t="s">
        <v>12047</v>
      </c>
      <c r="D2" s="501">
        <v>77100</v>
      </c>
      <c r="E2">
        <v>0</v>
      </c>
      <c r="F2">
        <v>0</v>
      </c>
      <c r="G2">
        <v>0</v>
      </c>
      <c r="H2" s="501">
        <v>77100</v>
      </c>
      <c r="I2" s="183" t="s">
        <v>4487</v>
      </c>
      <c r="J2" s="183" t="s">
        <v>12048</v>
      </c>
      <c r="K2">
        <v>0</v>
      </c>
      <c r="L2" s="501">
        <v>77100</v>
      </c>
    </row>
    <row r="3" spans="1:12">
      <c r="A3" s="183" t="s">
        <v>5760</v>
      </c>
      <c r="B3" s="183" t="s">
        <v>5761</v>
      </c>
      <c r="C3" t="s">
        <v>12049</v>
      </c>
      <c r="D3">
        <v>195</v>
      </c>
      <c r="E3">
        <v>0</v>
      </c>
      <c r="F3">
        <v>0</v>
      </c>
      <c r="G3">
        <v>0</v>
      </c>
      <c r="H3">
        <v>195</v>
      </c>
      <c r="I3" s="183" t="s">
        <v>1324</v>
      </c>
      <c r="J3" s="183" t="s">
        <v>12050</v>
      </c>
      <c r="K3">
        <v>0</v>
      </c>
      <c r="L3">
        <v>195</v>
      </c>
    </row>
    <row r="4" spans="1:12">
      <c r="A4" s="183" t="s">
        <v>6074</v>
      </c>
      <c r="B4" s="183" t="s">
        <v>6075</v>
      </c>
      <c r="C4" t="s">
        <v>12051</v>
      </c>
      <c r="D4">
        <v>119</v>
      </c>
      <c r="E4">
        <v>0</v>
      </c>
      <c r="F4">
        <v>0</v>
      </c>
      <c r="G4">
        <v>0</v>
      </c>
      <c r="H4">
        <v>119</v>
      </c>
      <c r="I4" s="183" t="s">
        <v>1324</v>
      </c>
      <c r="J4" s="183" t="s">
        <v>12052</v>
      </c>
      <c r="K4">
        <v>0</v>
      </c>
      <c r="L4">
        <v>119</v>
      </c>
    </row>
    <row r="5" spans="1:12">
      <c r="A5" s="183" t="s">
        <v>19</v>
      </c>
      <c r="B5" s="183" t="s">
        <v>20</v>
      </c>
      <c r="C5">
        <v>16870204</v>
      </c>
      <c r="D5">
        <v>0</v>
      </c>
      <c r="E5">
        <v>0</v>
      </c>
      <c r="F5">
        <v>131</v>
      </c>
      <c r="G5">
        <v>0</v>
      </c>
      <c r="H5">
        <v>131</v>
      </c>
      <c r="I5" s="183" t="s">
        <v>1110</v>
      </c>
      <c r="J5" s="183" t="s">
        <v>12052</v>
      </c>
      <c r="K5">
        <v>0</v>
      </c>
      <c r="L5">
        <v>0</v>
      </c>
    </row>
    <row r="6" spans="1:12">
      <c r="A6" s="183" t="s">
        <v>3527</v>
      </c>
      <c r="B6" s="183" t="s">
        <v>3528</v>
      </c>
      <c r="C6">
        <v>16870208</v>
      </c>
      <c r="D6">
        <v>19</v>
      </c>
      <c r="E6">
        <v>0</v>
      </c>
      <c r="F6">
        <v>0</v>
      </c>
      <c r="G6">
        <v>0</v>
      </c>
      <c r="H6">
        <v>19</v>
      </c>
      <c r="I6" s="183" t="s">
        <v>1110</v>
      </c>
      <c r="J6" s="183" t="s">
        <v>12053</v>
      </c>
      <c r="K6">
        <v>0</v>
      </c>
      <c r="L6">
        <v>19</v>
      </c>
    </row>
    <row r="7" spans="1:12">
      <c r="A7" s="183" t="s">
        <v>6871</v>
      </c>
      <c r="B7" s="183" t="s">
        <v>6872</v>
      </c>
      <c r="C7">
        <v>16870210</v>
      </c>
      <c r="D7">
        <v>11</v>
      </c>
      <c r="E7">
        <v>0</v>
      </c>
      <c r="F7">
        <v>0</v>
      </c>
      <c r="G7">
        <v>0</v>
      </c>
      <c r="H7">
        <v>11</v>
      </c>
      <c r="I7" s="183" t="s">
        <v>1110</v>
      </c>
      <c r="J7" s="183" t="s">
        <v>12053</v>
      </c>
      <c r="K7">
        <v>0</v>
      </c>
      <c r="L7">
        <v>11</v>
      </c>
    </row>
    <row r="8" spans="1:12">
      <c r="A8" s="183" t="s">
        <v>5698</v>
      </c>
      <c r="B8" s="183" t="s">
        <v>5699</v>
      </c>
      <c r="C8">
        <v>16870217</v>
      </c>
      <c r="D8">
        <v>6</v>
      </c>
      <c r="E8">
        <v>0</v>
      </c>
      <c r="F8">
        <v>0</v>
      </c>
      <c r="G8">
        <v>0</v>
      </c>
      <c r="H8">
        <v>6</v>
      </c>
      <c r="I8" s="183" t="s">
        <v>1110</v>
      </c>
      <c r="J8" s="183" t="s">
        <v>12054</v>
      </c>
      <c r="K8">
        <v>0</v>
      </c>
      <c r="L8">
        <v>6</v>
      </c>
    </row>
    <row r="9" spans="1:12">
      <c r="A9" s="183" t="s">
        <v>6639</v>
      </c>
      <c r="B9" s="183" t="s">
        <v>6640</v>
      </c>
      <c r="C9">
        <v>10850197</v>
      </c>
      <c r="D9">
        <v>105</v>
      </c>
      <c r="E9">
        <v>0</v>
      </c>
      <c r="F9">
        <v>0</v>
      </c>
      <c r="G9">
        <v>0</v>
      </c>
      <c r="H9">
        <v>105</v>
      </c>
      <c r="I9" s="183" t="s">
        <v>6632</v>
      </c>
      <c r="J9" s="183" t="s">
        <v>12055</v>
      </c>
      <c r="K9">
        <v>0</v>
      </c>
      <c r="L9">
        <v>105</v>
      </c>
    </row>
    <row r="10" spans="1:12">
      <c r="A10" s="183" t="s">
        <v>6696</v>
      </c>
      <c r="B10" s="183" t="s">
        <v>6697</v>
      </c>
      <c r="C10">
        <v>10850182</v>
      </c>
      <c r="D10">
        <v>80</v>
      </c>
      <c r="E10">
        <v>0</v>
      </c>
      <c r="F10">
        <v>0</v>
      </c>
      <c r="G10">
        <v>0</v>
      </c>
      <c r="H10">
        <v>80</v>
      </c>
      <c r="I10" s="183" t="s">
        <v>6632</v>
      </c>
      <c r="J10" s="183" t="s">
        <v>12056</v>
      </c>
      <c r="K10">
        <v>0</v>
      </c>
      <c r="L10">
        <v>80</v>
      </c>
    </row>
    <row r="11" spans="1:12">
      <c r="A11" s="183" t="s">
        <v>6635</v>
      </c>
      <c r="B11" s="183" t="s">
        <v>6636</v>
      </c>
      <c r="C11">
        <v>10850148</v>
      </c>
      <c r="D11">
        <v>28</v>
      </c>
      <c r="E11">
        <v>0</v>
      </c>
      <c r="F11">
        <v>0</v>
      </c>
      <c r="G11">
        <v>0</v>
      </c>
      <c r="H11">
        <v>28</v>
      </c>
      <c r="I11" s="183" t="s">
        <v>6632</v>
      </c>
      <c r="J11" s="183" t="s">
        <v>12057</v>
      </c>
      <c r="K11">
        <v>0</v>
      </c>
      <c r="L11">
        <v>28</v>
      </c>
    </row>
    <row r="12" spans="1:12">
      <c r="A12" s="183" t="s">
        <v>6802</v>
      </c>
      <c r="B12" s="183" t="s">
        <v>6803</v>
      </c>
      <c r="C12">
        <v>10850122</v>
      </c>
      <c r="D12">
        <v>47</v>
      </c>
      <c r="E12">
        <v>0</v>
      </c>
      <c r="F12">
        <v>0</v>
      </c>
      <c r="G12">
        <v>0</v>
      </c>
      <c r="H12">
        <v>47</v>
      </c>
      <c r="I12" s="183" t="s">
        <v>6632</v>
      </c>
      <c r="J12" s="183" t="s">
        <v>12058</v>
      </c>
      <c r="K12">
        <v>0</v>
      </c>
      <c r="L12">
        <v>47</v>
      </c>
    </row>
    <row r="13" spans="1:12">
      <c r="A13" s="183" t="s">
        <v>6729</v>
      </c>
      <c r="B13" s="183" t="s">
        <v>6730</v>
      </c>
      <c r="C13">
        <v>10850202</v>
      </c>
      <c r="D13">
        <v>128</v>
      </c>
      <c r="E13">
        <v>0</v>
      </c>
      <c r="F13">
        <v>0</v>
      </c>
      <c r="G13">
        <v>0</v>
      </c>
      <c r="H13">
        <v>128</v>
      </c>
      <c r="I13" s="183" t="s">
        <v>6632</v>
      </c>
      <c r="J13" s="183" t="s">
        <v>12059</v>
      </c>
      <c r="K13">
        <v>0</v>
      </c>
      <c r="L13">
        <v>128</v>
      </c>
    </row>
    <row r="14" spans="1:12">
      <c r="A14" s="183" t="s">
        <v>6673</v>
      </c>
      <c r="B14" s="183" t="s">
        <v>6674</v>
      </c>
      <c r="C14">
        <v>10850222</v>
      </c>
      <c r="D14">
        <v>11</v>
      </c>
      <c r="E14">
        <v>0</v>
      </c>
      <c r="F14">
        <v>0</v>
      </c>
      <c r="G14">
        <v>0</v>
      </c>
      <c r="H14">
        <v>11</v>
      </c>
      <c r="I14" s="183" t="s">
        <v>6632</v>
      </c>
      <c r="J14" s="183" t="s">
        <v>12056</v>
      </c>
      <c r="K14">
        <v>0</v>
      </c>
      <c r="L14">
        <v>11</v>
      </c>
    </row>
    <row r="15" spans="1:12">
      <c r="A15" s="183" t="s">
        <v>6750</v>
      </c>
      <c r="B15" s="183" t="s">
        <v>6751</v>
      </c>
      <c r="C15">
        <v>10850224</v>
      </c>
      <c r="D15">
        <v>6</v>
      </c>
      <c r="E15">
        <v>0</v>
      </c>
      <c r="F15">
        <v>0</v>
      </c>
      <c r="G15">
        <v>0</v>
      </c>
      <c r="H15">
        <v>6</v>
      </c>
      <c r="I15" s="183" t="s">
        <v>6632</v>
      </c>
      <c r="J15" s="183" t="s">
        <v>12060</v>
      </c>
      <c r="K15">
        <v>0</v>
      </c>
      <c r="L15">
        <v>6</v>
      </c>
    </row>
    <row r="16" spans="1:12">
      <c r="A16" s="183" t="s">
        <v>6731</v>
      </c>
      <c r="B16" s="183" t="s">
        <v>6732</v>
      </c>
      <c r="C16">
        <v>10850270</v>
      </c>
      <c r="D16">
        <v>80</v>
      </c>
      <c r="E16">
        <v>0</v>
      </c>
      <c r="F16">
        <v>0</v>
      </c>
      <c r="G16">
        <v>0</v>
      </c>
      <c r="H16">
        <v>80</v>
      </c>
      <c r="I16" s="183" t="s">
        <v>6632</v>
      </c>
      <c r="J16" s="183" t="s">
        <v>12059</v>
      </c>
      <c r="K16">
        <v>0</v>
      </c>
      <c r="L16">
        <v>80</v>
      </c>
    </row>
    <row r="17" spans="1:12">
      <c r="A17" s="183" t="s">
        <v>6877</v>
      </c>
      <c r="B17" s="183" t="s">
        <v>6878</v>
      </c>
      <c r="C17">
        <v>10850272</v>
      </c>
      <c r="D17">
        <v>22</v>
      </c>
      <c r="E17">
        <v>0</v>
      </c>
      <c r="F17">
        <v>0</v>
      </c>
      <c r="G17">
        <v>0</v>
      </c>
      <c r="H17">
        <v>22</v>
      </c>
      <c r="I17" s="183" t="s">
        <v>6632</v>
      </c>
      <c r="J17" s="183" t="s">
        <v>12060</v>
      </c>
      <c r="K17">
        <v>0</v>
      </c>
      <c r="L17">
        <v>22</v>
      </c>
    </row>
    <row r="18" spans="1:12">
      <c r="A18" s="183" t="s">
        <v>7645</v>
      </c>
      <c r="B18" s="183" t="s">
        <v>7646</v>
      </c>
      <c r="C18">
        <v>10870240</v>
      </c>
      <c r="D18">
        <v>47</v>
      </c>
      <c r="E18">
        <v>0</v>
      </c>
      <c r="F18">
        <v>0</v>
      </c>
      <c r="G18">
        <v>0</v>
      </c>
      <c r="H18">
        <v>47</v>
      </c>
      <c r="I18" s="183" t="s">
        <v>7602</v>
      </c>
      <c r="J18" s="183" t="s">
        <v>12060</v>
      </c>
      <c r="K18">
        <v>0</v>
      </c>
      <c r="L18">
        <v>47</v>
      </c>
    </row>
    <row r="19" spans="1:12">
      <c r="A19" s="183" t="s">
        <v>7475</v>
      </c>
      <c r="B19" s="183" t="s">
        <v>7476</v>
      </c>
      <c r="C19">
        <v>10890207</v>
      </c>
      <c r="D19">
        <v>62</v>
      </c>
      <c r="E19">
        <v>0</v>
      </c>
      <c r="F19">
        <v>0</v>
      </c>
      <c r="G19">
        <v>0</v>
      </c>
      <c r="H19">
        <v>62</v>
      </c>
      <c r="I19" s="183" t="s">
        <v>7423</v>
      </c>
      <c r="J19" s="183" t="s">
        <v>12054</v>
      </c>
      <c r="K19">
        <v>0</v>
      </c>
      <c r="L19">
        <v>62</v>
      </c>
    </row>
    <row r="20" spans="1:12">
      <c r="A20" s="183" t="s">
        <v>7440</v>
      </c>
      <c r="B20" s="183" t="s">
        <v>7441</v>
      </c>
      <c r="C20">
        <v>10890208</v>
      </c>
      <c r="D20">
        <v>32</v>
      </c>
      <c r="E20">
        <v>0</v>
      </c>
      <c r="F20">
        <v>0</v>
      </c>
      <c r="G20">
        <v>0</v>
      </c>
      <c r="H20">
        <v>32</v>
      </c>
      <c r="I20" s="183" t="s">
        <v>7423</v>
      </c>
      <c r="J20" s="183" t="s">
        <v>12056</v>
      </c>
      <c r="K20">
        <v>0</v>
      </c>
      <c r="L20">
        <v>32</v>
      </c>
    </row>
    <row r="21" spans="1:12">
      <c r="A21" s="183" t="s">
        <v>7426</v>
      </c>
      <c r="B21" s="183" t="s">
        <v>7427</v>
      </c>
      <c r="C21">
        <v>10890232</v>
      </c>
      <c r="D21">
        <v>112</v>
      </c>
      <c r="E21">
        <v>0</v>
      </c>
      <c r="F21">
        <v>0</v>
      </c>
      <c r="G21">
        <v>0</v>
      </c>
      <c r="H21">
        <v>112</v>
      </c>
      <c r="I21" s="183" t="s">
        <v>7423</v>
      </c>
      <c r="J21" s="183" t="s">
        <v>12059</v>
      </c>
      <c r="K21">
        <v>0</v>
      </c>
      <c r="L21">
        <v>112</v>
      </c>
    </row>
    <row r="22" spans="1:12">
      <c r="A22" s="183" t="s">
        <v>35</v>
      </c>
      <c r="B22" s="183" t="s">
        <v>36</v>
      </c>
      <c r="C22">
        <v>11870205</v>
      </c>
      <c r="D22">
        <v>37</v>
      </c>
      <c r="E22">
        <v>0</v>
      </c>
      <c r="F22">
        <v>0</v>
      </c>
      <c r="G22">
        <v>0</v>
      </c>
      <c r="H22">
        <v>37</v>
      </c>
      <c r="I22" s="183" t="s">
        <v>1132</v>
      </c>
      <c r="J22" s="183" t="s">
        <v>12056</v>
      </c>
      <c r="K22">
        <v>0</v>
      </c>
      <c r="L22">
        <v>37</v>
      </c>
    </row>
    <row r="23" spans="1:12">
      <c r="A23" s="183" t="s">
        <v>5533</v>
      </c>
      <c r="B23" s="183" t="s">
        <v>5534</v>
      </c>
      <c r="C23">
        <v>11870209</v>
      </c>
      <c r="D23">
        <v>43</v>
      </c>
      <c r="E23">
        <v>0</v>
      </c>
      <c r="F23">
        <v>0</v>
      </c>
      <c r="G23">
        <v>0</v>
      </c>
      <c r="H23">
        <v>43</v>
      </c>
      <c r="I23" s="183" t="s">
        <v>1132</v>
      </c>
      <c r="J23" s="183" t="s">
        <v>12058</v>
      </c>
      <c r="K23">
        <v>0</v>
      </c>
      <c r="L23">
        <v>43</v>
      </c>
    </row>
    <row r="24" spans="1:12">
      <c r="A24" s="183" t="s">
        <v>6873</v>
      </c>
      <c r="B24" s="183" t="s">
        <v>6874</v>
      </c>
      <c r="C24">
        <v>11870220</v>
      </c>
      <c r="D24">
        <v>3</v>
      </c>
      <c r="E24">
        <v>0</v>
      </c>
      <c r="F24">
        <v>0</v>
      </c>
      <c r="G24">
        <v>0</v>
      </c>
      <c r="H24">
        <v>3</v>
      </c>
      <c r="I24" s="183" t="s">
        <v>1132</v>
      </c>
      <c r="J24" s="183" t="s">
        <v>12058</v>
      </c>
      <c r="K24">
        <v>0</v>
      </c>
      <c r="L24">
        <v>3</v>
      </c>
    </row>
    <row r="25" spans="1:12">
      <c r="A25" s="183" t="s">
        <v>39</v>
      </c>
      <c r="B25" s="183" t="s">
        <v>40</v>
      </c>
      <c r="C25">
        <v>11870223</v>
      </c>
      <c r="D25">
        <v>14</v>
      </c>
      <c r="E25">
        <v>0</v>
      </c>
      <c r="F25">
        <v>0</v>
      </c>
      <c r="G25">
        <v>0</v>
      </c>
      <c r="H25">
        <v>14</v>
      </c>
      <c r="I25" s="183" t="s">
        <v>1132</v>
      </c>
      <c r="J25" s="183" t="s">
        <v>12054</v>
      </c>
      <c r="K25">
        <v>0</v>
      </c>
      <c r="L25">
        <v>14</v>
      </c>
    </row>
    <row r="26" spans="1:12">
      <c r="A26" s="183" t="s">
        <v>7621</v>
      </c>
      <c r="B26" s="183" t="s">
        <v>7622</v>
      </c>
      <c r="C26">
        <v>11870228</v>
      </c>
      <c r="D26">
        <v>23</v>
      </c>
      <c r="E26">
        <v>0</v>
      </c>
      <c r="F26">
        <v>0</v>
      </c>
      <c r="G26">
        <v>0</v>
      </c>
      <c r="H26">
        <v>23</v>
      </c>
      <c r="I26" s="183" t="s">
        <v>1132</v>
      </c>
      <c r="J26" s="183" t="s">
        <v>12052</v>
      </c>
      <c r="K26">
        <v>0</v>
      </c>
      <c r="L26">
        <v>23</v>
      </c>
    </row>
    <row r="27" spans="1:12">
      <c r="A27" s="183" t="s">
        <v>7526</v>
      </c>
      <c r="B27" s="183" t="s">
        <v>7527</v>
      </c>
      <c r="C27">
        <v>11870230</v>
      </c>
      <c r="D27">
        <v>32</v>
      </c>
      <c r="E27">
        <v>0</v>
      </c>
      <c r="F27">
        <v>0</v>
      </c>
      <c r="G27">
        <v>0</v>
      </c>
      <c r="H27">
        <v>32</v>
      </c>
      <c r="I27" s="183" t="s">
        <v>1132</v>
      </c>
      <c r="J27" s="183" t="s">
        <v>12058</v>
      </c>
      <c r="K27">
        <v>0</v>
      </c>
      <c r="L27">
        <v>32</v>
      </c>
    </row>
    <row r="28" spans="1:12">
      <c r="A28" s="183" t="s">
        <v>7040</v>
      </c>
      <c r="B28" s="183" t="s">
        <v>7041</v>
      </c>
      <c r="C28">
        <v>50200409</v>
      </c>
      <c r="D28">
        <v>25</v>
      </c>
      <c r="E28">
        <v>0</v>
      </c>
      <c r="F28">
        <v>0</v>
      </c>
      <c r="G28">
        <v>0</v>
      </c>
      <c r="H28">
        <v>25</v>
      </c>
      <c r="I28" s="183" t="s">
        <v>1017</v>
      </c>
      <c r="J28" s="183" t="s">
        <v>12059</v>
      </c>
      <c r="K28">
        <v>0</v>
      </c>
      <c r="L28">
        <v>25</v>
      </c>
    </row>
    <row r="29" spans="1:12">
      <c r="A29" s="183" t="s">
        <v>53</v>
      </c>
      <c r="B29" s="183" t="s">
        <v>54</v>
      </c>
      <c r="C29">
        <v>50200418</v>
      </c>
      <c r="D29">
        <v>41</v>
      </c>
      <c r="E29">
        <v>0</v>
      </c>
      <c r="F29">
        <v>0</v>
      </c>
      <c r="G29">
        <v>0</v>
      </c>
      <c r="H29">
        <v>41</v>
      </c>
      <c r="I29" s="183" t="s">
        <v>1017</v>
      </c>
      <c r="J29" s="183" t="s">
        <v>12055</v>
      </c>
      <c r="K29">
        <v>0</v>
      </c>
      <c r="L29">
        <v>41</v>
      </c>
    </row>
    <row r="30" spans="1:12">
      <c r="A30" s="183" t="s">
        <v>61</v>
      </c>
      <c r="B30" s="183" t="s">
        <v>62</v>
      </c>
      <c r="C30">
        <v>50202218</v>
      </c>
      <c r="D30">
        <v>71</v>
      </c>
      <c r="E30">
        <v>0</v>
      </c>
      <c r="F30">
        <v>0</v>
      </c>
      <c r="G30">
        <v>0</v>
      </c>
      <c r="H30">
        <v>71</v>
      </c>
      <c r="I30" s="183" t="s">
        <v>1017</v>
      </c>
      <c r="J30" s="183" t="s">
        <v>12056</v>
      </c>
      <c r="K30">
        <v>0</v>
      </c>
      <c r="L30">
        <v>71</v>
      </c>
    </row>
    <row r="31" spans="1:12">
      <c r="A31" s="183" t="s">
        <v>63</v>
      </c>
      <c r="B31" s="183" t="s">
        <v>64</v>
      </c>
      <c r="C31">
        <v>50202418</v>
      </c>
      <c r="D31">
        <v>50</v>
      </c>
      <c r="E31">
        <v>0</v>
      </c>
      <c r="F31">
        <v>0</v>
      </c>
      <c r="G31">
        <v>0</v>
      </c>
      <c r="H31">
        <v>50</v>
      </c>
      <c r="I31" s="183" t="s">
        <v>1017</v>
      </c>
      <c r="J31" s="183" t="s">
        <v>12050</v>
      </c>
      <c r="K31">
        <v>0</v>
      </c>
      <c r="L31">
        <v>50</v>
      </c>
    </row>
    <row r="32" spans="1:12">
      <c r="A32" s="183" t="s">
        <v>7080</v>
      </c>
      <c r="B32" s="183" t="s">
        <v>7081</v>
      </c>
      <c r="C32">
        <v>50203209</v>
      </c>
      <c r="D32">
        <v>28</v>
      </c>
      <c r="E32">
        <v>0</v>
      </c>
      <c r="F32">
        <v>0</v>
      </c>
      <c r="G32">
        <v>0</v>
      </c>
      <c r="H32">
        <v>28</v>
      </c>
      <c r="I32" s="183" t="s">
        <v>1017</v>
      </c>
      <c r="J32" s="183" t="s">
        <v>12056</v>
      </c>
      <c r="K32">
        <v>0</v>
      </c>
      <c r="L32">
        <v>28</v>
      </c>
    </row>
    <row r="33" spans="1:12">
      <c r="A33" s="183" t="s">
        <v>76</v>
      </c>
      <c r="B33" s="183" t="s">
        <v>77</v>
      </c>
      <c r="C33">
        <v>50205218</v>
      </c>
      <c r="D33">
        <v>75</v>
      </c>
      <c r="E33">
        <v>0</v>
      </c>
      <c r="F33">
        <v>0</v>
      </c>
      <c r="G33">
        <v>0</v>
      </c>
      <c r="H33">
        <v>75</v>
      </c>
      <c r="I33" s="183" t="s">
        <v>1017</v>
      </c>
      <c r="J33" s="183" t="s">
        <v>12056</v>
      </c>
      <c r="K33">
        <v>0</v>
      </c>
      <c r="L33">
        <v>75</v>
      </c>
    </row>
    <row r="34" spans="1:12">
      <c r="A34" s="183" t="s">
        <v>82</v>
      </c>
      <c r="B34" s="183" t="s">
        <v>83</v>
      </c>
      <c r="C34">
        <v>50206418</v>
      </c>
      <c r="D34">
        <v>43</v>
      </c>
      <c r="E34">
        <v>0</v>
      </c>
      <c r="F34">
        <v>0</v>
      </c>
      <c r="G34">
        <v>0</v>
      </c>
      <c r="H34">
        <v>43</v>
      </c>
      <c r="I34" s="183" t="s">
        <v>1017</v>
      </c>
      <c r="J34" s="183" t="s">
        <v>12055</v>
      </c>
      <c r="K34">
        <v>0</v>
      </c>
      <c r="L34">
        <v>43</v>
      </c>
    </row>
    <row r="35" spans="1:12">
      <c r="A35" s="183" t="s">
        <v>7170</v>
      </c>
      <c r="B35" s="183" t="s">
        <v>7171</v>
      </c>
      <c r="C35">
        <v>50206509</v>
      </c>
      <c r="D35">
        <v>19</v>
      </c>
      <c r="E35">
        <v>0</v>
      </c>
      <c r="F35">
        <v>0</v>
      </c>
      <c r="G35">
        <v>0</v>
      </c>
      <c r="H35">
        <v>19</v>
      </c>
      <c r="I35" s="183" t="s">
        <v>1017</v>
      </c>
      <c r="J35" s="183" t="s">
        <v>12052</v>
      </c>
      <c r="K35">
        <v>0</v>
      </c>
      <c r="L35">
        <v>19</v>
      </c>
    </row>
    <row r="36" spans="1:12">
      <c r="A36" s="183" t="s">
        <v>3756</v>
      </c>
      <c r="B36" s="183" t="s">
        <v>3757</v>
      </c>
      <c r="C36">
        <v>50208218</v>
      </c>
      <c r="D36">
        <v>31</v>
      </c>
      <c r="E36">
        <v>0</v>
      </c>
      <c r="F36">
        <v>0</v>
      </c>
      <c r="G36">
        <v>0</v>
      </c>
      <c r="H36">
        <v>31</v>
      </c>
      <c r="I36" s="183" t="s">
        <v>1017</v>
      </c>
      <c r="J36" s="183" t="s">
        <v>12056</v>
      </c>
      <c r="K36">
        <v>0</v>
      </c>
      <c r="L36">
        <v>31</v>
      </c>
    </row>
    <row r="37" spans="1:12">
      <c r="A37" s="183" t="s">
        <v>6924</v>
      </c>
      <c r="B37" s="183" t="s">
        <v>6925</v>
      </c>
      <c r="C37">
        <v>50210109</v>
      </c>
      <c r="D37">
        <v>18</v>
      </c>
      <c r="E37">
        <v>0</v>
      </c>
      <c r="F37">
        <v>0</v>
      </c>
      <c r="G37">
        <v>0</v>
      </c>
      <c r="H37">
        <v>18</v>
      </c>
      <c r="I37" s="183" t="s">
        <v>1017</v>
      </c>
      <c r="J37" s="183" t="s">
        <v>12050</v>
      </c>
      <c r="K37">
        <v>0</v>
      </c>
      <c r="L37">
        <v>18</v>
      </c>
    </row>
    <row r="38" spans="1:12">
      <c r="A38" s="183" t="s">
        <v>7050</v>
      </c>
      <c r="B38" s="183" t="s">
        <v>7051</v>
      </c>
      <c r="C38">
        <v>50210309</v>
      </c>
      <c r="D38">
        <v>22</v>
      </c>
      <c r="E38">
        <v>0</v>
      </c>
      <c r="F38">
        <v>0</v>
      </c>
      <c r="G38">
        <v>0</v>
      </c>
      <c r="H38">
        <v>22</v>
      </c>
      <c r="I38" s="183" t="s">
        <v>1017</v>
      </c>
      <c r="J38" s="183" t="s">
        <v>12052</v>
      </c>
      <c r="K38">
        <v>0</v>
      </c>
      <c r="L38">
        <v>22</v>
      </c>
    </row>
    <row r="39" spans="1:12">
      <c r="A39" s="183" t="s">
        <v>7042</v>
      </c>
      <c r="B39" s="183" t="s">
        <v>7043</v>
      </c>
      <c r="C39">
        <v>50212209</v>
      </c>
      <c r="D39">
        <v>22</v>
      </c>
      <c r="E39">
        <v>0</v>
      </c>
      <c r="F39">
        <v>0</v>
      </c>
      <c r="G39">
        <v>0</v>
      </c>
      <c r="H39">
        <v>22</v>
      </c>
      <c r="I39" s="183" t="s">
        <v>1017</v>
      </c>
      <c r="J39" s="183" t="s">
        <v>12056</v>
      </c>
      <c r="K39">
        <v>0</v>
      </c>
      <c r="L39">
        <v>22</v>
      </c>
    </row>
    <row r="40" spans="1:12">
      <c r="A40" s="183" t="s">
        <v>8055</v>
      </c>
      <c r="B40" s="183" t="s">
        <v>8056</v>
      </c>
      <c r="C40">
        <v>50215318</v>
      </c>
      <c r="D40">
        <v>34</v>
      </c>
      <c r="E40">
        <v>0</v>
      </c>
      <c r="F40">
        <v>0</v>
      </c>
      <c r="G40">
        <v>0</v>
      </c>
      <c r="H40">
        <v>34</v>
      </c>
      <c r="I40" s="183" t="s">
        <v>1017</v>
      </c>
      <c r="J40" s="183" t="s">
        <v>12057</v>
      </c>
      <c r="K40">
        <v>0</v>
      </c>
      <c r="L40">
        <v>34</v>
      </c>
    </row>
    <row r="41" spans="1:12">
      <c r="A41" s="183" t="s">
        <v>5018</v>
      </c>
      <c r="B41" s="183" t="s">
        <v>5019</v>
      </c>
      <c r="C41">
        <v>50215518</v>
      </c>
      <c r="D41">
        <v>27</v>
      </c>
      <c r="E41">
        <v>0</v>
      </c>
      <c r="F41">
        <v>0</v>
      </c>
      <c r="G41">
        <v>0</v>
      </c>
      <c r="H41">
        <v>27</v>
      </c>
      <c r="I41" s="183" t="s">
        <v>1017</v>
      </c>
      <c r="J41" s="183" t="s">
        <v>12061</v>
      </c>
      <c r="K41">
        <v>0</v>
      </c>
      <c r="L41">
        <v>27</v>
      </c>
    </row>
    <row r="42" spans="1:12">
      <c r="A42" s="183" t="s">
        <v>7126</v>
      </c>
      <c r="B42" s="183" t="s">
        <v>7127</v>
      </c>
      <c r="C42">
        <v>50216209</v>
      </c>
      <c r="D42">
        <v>25</v>
      </c>
      <c r="E42">
        <v>0</v>
      </c>
      <c r="F42">
        <v>0</v>
      </c>
      <c r="G42">
        <v>0</v>
      </c>
      <c r="H42">
        <v>25</v>
      </c>
      <c r="I42" s="183" t="s">
        <v>1017</v>
      </c>
      <c r="J42" s="183" t="s">
        <v>12057</v>
      </c>
      <c r="K42">
        <v>0</v>
      </c>
      <c r="L42">
        <v>25</v>
      </c>
    </row>
    <row r="43" spans="1:12">
      <c r="A43" s="183" t="s">
        <v>5006</v>
      </c>
      <c r="B43" s="183" t="s">
        <v>5007</v>
      </c>
      <c r="C43">
        <v>50218218</v>
      </c>
      <c r="D43">
        <v>18</v>
      </c>
      <c r="E43">
        <v>0</v>
      </c>
      <c r="F43">
        <v>0</v>
      </c>
      <c r="G43">
        <v>0</v>
      </c>
      <c r="H43">
        <v>18</v>
      </c>
      <c r="I43" s="183" t="s">
        <v>1017</v>
      </c>
      <c r="J43" s="183" t="s">
        <v>12056</v>
      </c>
      <c r="K43">
        <v>0</v>
      </c>
      <c r="L43">
        <v>18</v>
      </c>
    </row>
    <row r="44" spans="1:12">
      <c r="A44" s="183" t="s">
        <v>3057</v>
      </c>
      <c r="B44" s="183" t="s">
        <v>3058</v>
      </c>
      <c r="C44">
        <v>50218518</v>
      </c>
      <c r="D44">
        <v>9</v>
      </c>
      <c r="E44">
        <v>0</v>
      </c>
      <c r="F44">
        <v>0</v>
      </c>
      <c r="G44">
        <v>0</v>
      </c>
      <c r="H44">
        <v>9</v>
      </c>
      <c r="I44" s="183" t="s">
        <v>1017</v>
      </c>
      <c r="J44" s="183" t="s">
        <v>12061</v>
      </c>
      <c r="K44">
        <v>0</v>
      </c>
      <c r="L44">
        <v>9</v>
      </c>
    </row>
    <row r="45" spans="1:12">
      <c r="A45" s="183" t="s">
        <v>7242</v>
      </c>
      <c r="B45" s="183" t="s">
        <v>7243</v>
      </c>
      <c r="C45">
        <v>50219409</v>
      </c>
      <c r="D45">
        <v>26</v>
      </c>
      <c r="E45">
        <v>0</v>
      </c>
      <c r="F45">
        <v>0</v>
      </c>
      <c r="G45">
        <v>0</v>
      </c>
      <c r="H45">
        <v>26</v>
      </c>
      <c r="I45" s="183" t="s">
        <v>1017</v>
      </c>
      <c r="J45" s="183" t="s">
        <v>12056</v>
      </c>
      <c r="K45">
        <v>0</v>
      </c>
      <c r="L45">
        <v>26</v>
      </c>
    </row>
    <row r="46" spans="1:12">
      <c r="A46" s="183" t="s">
        <v>6914</v>
      </c>
      <c r="B46" s="183" t="s">
        <v>6915</v>
      </c>
      <c r="C46">
        <v>50221109</v>
      </c>
      <c r="D46">
        <v>27</v>
      </c>
      <c r="E46">
        <v>0</v>
      </c>
      <c r="F46">
        <v>0</v>
      </c>
      <c r="G46">
        <v>0</v>
      </c>
      <c r="H46">
        <v>27</v>
      </c>
      <c r="I46" s="183" t="s">
        <v>1017</v>
      </c>
      <c r="J46" s="183" t="s">
        <v>12055</v>
      </c>
      <c r="K46">
        <v>0</v>
      </c>
      <c r="L46">
        <v>27</v>
      </c>
    </row>
    <row r="47" spans="1:12">
      <c r="A47" s="183" t="s">
        <v>5020</v>
      </c>
      <c r="B47" s="183" t="s">
        <v>5021</v>
      </c>
      <c r="C47">
        <v>50221318</v>
      </c>
      <c r="D47">
        <v>8</v>
      </c>
      <c r="E47">
        <v>0</v>
      </c>
      <c r="F47">
        <v>0</v>
      </c>
      <c r="G47">
        <v>0</v>
      </c>
      <c r="H47">
        <v>8</v>
      </c>
      <c r="I47" s="183" t="s">
        <v>1017</v>
      </c>
      <c r="J47" s="183" t="s">
        <v>12057</v>
      </c>
      <c r="K47">
        <v>0</v>
      </c>
      <c r="L47">
        <v>8</v>
      </c>
    </row>
    <row r="48" spans="1:12">
      <c r="A48" s="183" t="s">
        <v>2748</v>
      </c>
      <c r="B48" s="183" t="s">
        <v>2749</v>
      </c>
      <c r="C48" t="s">
        <v>12062</v>
      </c>
      <c r="D48">
        <v>121</v>
      </c>
      <c r="E48">
        <v>0</v>
      </c>
      <c r="F48">
        <v>0</v>
      </c>
      <c r="G48">
        <v>0</v>
      </c>
      <c r="H48">
        <v>121</v>
      </c>
      <c r="I48" s="183" t="s">
        <v>2748</v>
      </c>
      <c r="J48" s="183" t="s">
        <v>12063</v>
      </c>
      <c r="K48">
        <v>0</v>
      </c>
      <c r="L48">
        <v>121</v>
      </c>
    </row>
    <row r="49" spans="1:12">
      <c r="A49" s="183" t="s">
        <v>6315</v>
      </c>
      <c r="B49" s="183" t="s">
        <v>6316</v>
      </c>
      <c r="C49" t="s">
        <v>12064</v>
      </c>
      <c r="D49">
        <v>107</v>
      </c>
      <c r="E49">
        <v>0</v>
      </c>
      <c r="F49">
        <v>0</v>
      </c>
      <c r="G49">
        <v>0</v>
      </c>
      <c r="H49">
        <v>107</v>
      </c>
      <c r="I49" s="183" t="s">
        <v>1324</v>
      </c>
      <c r="J49" s="183" t="s">
        <v>12055</v>
      </c>
      <c r="K49">
        <v>0</v>
      </c>
      <c r="L49">
        <v>107</v>
      </c>
    </row>
    <row r="50" spans="1:12">
      <c r="A50" s="183" t="s">
        <v>6080</v>
      </c>
      <c r="B50" s="183" t="s">
        <v>6081</v>
      </c>
      <c r="C50" t="s">
        <v>12065</v>
      </c>
      <c r="D50">
        <v>107</v>
      </c>
      <c r="E50">
        <v>0</v>
      </c>
      <c r="F50">
        <v>0</v>
      </c>
      <c r="G50">
        <v>0</v>
      </c>
      <c r="H50">
        <v>107</v>
      </c>
      <c r="I50" s="183" t="s">
        <v>1324</v>
      </c>
      <c r="J50" s="183" t="s">
        <v>12066</v>
      </c>
      <c r="K50">
        <v>0</v>
      </c>
      <c r="L50">
        <v>107</v>
      </c>
    </row>
    <row r="51" spans="1:12">
      <c r="A51" s="183" t="s">
        <v>7598</v>
      </c>
      <c r="B51" s="183" t="s">
        <v>7599</v>
      </c>
      <c r="C51">
        <v>16870213</v>
      </c>
      <c r="D51">
        <v>4</v>
      </c>
      <c r="E51">
        <v>0</v>
      </c>
      <c r="F51">
        <v>0</v>
      </c>
      <c r="G51">
        <v>0</v>
      </c>
      <c r="H51">
        <v>4</v>
      </c>
      <c r="I51" s="183" t="s">
        <v>1110</v>
      </c>
      <c r="J51" s="183" t="s">
        <v>12067</v>
      </c>
      <c r="K51">
        <v>0</v>
      </c>
      <c r="L51">
        <v>4</v>
      </c>
    </row>
    <row r="52" spans="1:12">
      <c r="A52" s="183" t="s">
        <v>5700</v>
      </c>
      <c r="B52" s="183" t="s">
        <v>5701</v>
      </c>
      <c r="C52">
        <v>16870230</v>
      </c>
      <c r="D52">
        <v>88</v>
      </c>
      <c r="E52">
        <v>0</v>
      </c>
      <c r="F52">
        <v>0</v>
      </c>
      <c r="G52">
        <v>0</v>
      </c>
      <c r="H52">
        <v>88</v>
      </c>
      <c r="I52" s="183" t="s">
        <v>1110</v>
      </c>
      <c r="J52" s="183" t="s">
        <v>12056</v>
      </c>
      <c r="K52">
        <v>0</v>
      </c>
      <c r="L52">
        <v>88</v>
      </c>
    </row>
    <row r="53" spans="1:12">
      <c r="A53" s="183" t="s">
        <v>6784</v>
      </c>
      <c r="B53" s="183" t="s">
        <v>6785</v>
      </c>
      <c r="C53">
        <v>10850180</v>
      </c>
      <c r="D53">
        <v>20</v>
      </c>
      <c r="E53">
        <v>0</v>
      </c>
      <c r="F53">
        <v>0</v>
      </c>
      <c r="G53">
        <v>0</v>
      </c>
      <c r="H53">
        <v>20</v>
      </c>
      <c r="I53" s="183" t="s">
        <v>6632</v>
      </c>
      <c r="J53" s="183" t="s">
        <v>12058</v>
      </c>
      <c r="K53">
        <v>0</v>
      </c>
      <c r="L53">
        <v>20</v>
      </c>
    </row>
    <row r="54" spans="1:12">
      <c r="A54" s="183" t="s">
        <v>6711</v>
      </c>
      <c r="B54" s="183" t="s">
        <v>6712</v>
      </c>
      <c r="C54">
        <v>10850154</v>
      </c>
      <c r="D54">
        <v>80</v>
      </c>
      <c r="E54">
        <v>0</v>
      </c>
      <c r="F54">
        <v>0</v>
      </c>
      <c r="G54">
        <v>0</v>
      </c>
      <c r="H54">
        <v>80</v>
      </c>
      <c r="I54" s="183" t="s">
        <v>6632</v>
      </c>
      <c r="J54" s="183" t="s">
        <v>12052</v>
      </c>
      <c r="K54">
        <v>0</v>
      </c>
      <c r="L54">
        <v>80</v>
      </c>
    </row>
    <row r="55" spans="1:12">
      <c r="A55" s="183" t="s">
        <v>6694</v>
      </c>
      <c r="B55" s="183" t="s">
        <v>6695</v>
      </c>
      <c r="C55">
        <v>10850201</v>
      </c>
      <c r="D55">
        <v>62</v>
      </c>
      <c r="E55">
        <v>0</v>
      </c>
      <c r="F55">
        <v>0</v>
      </c>
      <c r="G55">
        <v>0</v>
      </c>
      <c r="H55">
        <v>62</v>
      </c>
      <c r="I55" s="183" t="s">
        <v>6632</v>
      </c>
      <c r="J55" s="183" t="s">
        <v>12059</v>
      </c>
      <c r="K55">
        <v>0</v>
      </c>
      <c r="L55">
        <v>62</v>
      </c>
    </row>
    <row r="56" spans="1:12">
      <c r="A56" s="183" t="s">
        <v>6661</v>
      </c>
      <c r="B56" s="183" t="s">
        <v>6662</v>
      </c>
      <c r="C56">
        <v>10850205</v>
      </c>
      <c r="D56">
        <v>106</v>
      </c>
      <c r="E56">
        <v>0</v>
      </c>
      <c r="F56">
        <v>0</v>
      </c>
      <c r="G56">
        <v>0</v>
      </c>
      <c r="H56">
        <v>106</v>
      </c>
      <c r="I56" s="183" t="s">
        <v>6632</v>
      </c>
      <c r="J56" s="183" t="s">
        <v>12054</v>
      </c>
      <c r="K56">
        <v>0</v>
      </c>
      <c r="L56">
        <v>106</v>
      </c>
    </row>
    <row r="57" spans="1:12">
      <c r="A57" s="183" t="s">
        <v>6643</v>
      </c>
      <c r="B57" s="183" t="s">
        <v>6644</v>
      </c>
      <c r="C57">
        <v>10850212</v>
      </c>
      <c r="D57">
        <v>44</v>
      </c>
      <c r="E57">
        <v>0</v>
      </c>
      <c r="F57">
        <v>0</v>
      </c>
      <c r="G57">
        <v>0</v>
      </c>
      <c r="H57">
        <v>44</v>
      </c>
      <c r="I57" s="183" t="s">
        <v>6632</v>
      </c>
      <c r="J57" s="183" t="s">
        <v>12058</v>
      </c>
      <c r="K57">
        <v>0</v>
      </c>
      <c r="L57">
        <v>44</v>
      </c>
    </row>
    <row r="58" spans="1:12">
      <c r="A58" s="183" t="s">
        <v>7611</v>
      </c>
      <c r="B58" s="183" t="s">
        <v>7612</v>
      </c>
      <c r="C58">
        <v>10850226</v>
      </c>
      <c r="D58">
        <v>32</v>
      </c>
      <c r="E58">
        <v>0</v>
      </c>
      <c r="F58">
        <v>0</v>
      </c>
      <c r="G58">
        <v>0</v>
      </c>
      <c r="H58">
        <v>32</v>
      </c>
      <c r="I58" s="183" t="s">
        <v>6632</v>
      </c>
      <c r="J58" s="183" t="s">
        <v>12054</v>
      </c>
      <c r="K58">
        <v>0</v>
      </c>
      <c r="L58">
        <v>32</v>
      </c>
    </row>
    <row r="59" spans="1:12">
      <c r="A59" s="183" t="s">
        <v>6885</v>
      </c>
      <c r="B59" s="183" t="s">
        <v>6886</v>
      </c>
      <c r="C59">
        <v>10850234</v>
      </c>
      <c r="D59">
        <v>7</v>
      </c>
      <c r="E59">
        <v>0</v>
      </c>
      <c r="F59">
        <v>0</v>
      </c>
      <c r="G59">
        <v>0</v>
      </c>
      <c r="H59">
        <v>7</v>
      </c>
      <c r="I59" s="183" t="s">
        <v>6632</v>
      </c>
      <c r="J59" s="183" t="s">
        <v>12059</v>
      </c>
      <c r="K59">
        <v>0</v>
      </c>
      <c r="L59">
        <v>7</v>
      </c>
    </row>
    <row r="60" spans="1:12">
      <c r="A60" s="183" t="s">
        <v>6727</v>
      </c>
      <c r="B60" s="183" t="s">
        <v>6728</v>
      </c>
      <c r="C60">
        <v>10850246</v>
      </c>
      <c r="D60">
        <v>49</v>
      </c>
      <c r="E60">
        <v>0</v>
      </c>
      <c r="F60">
        <v>0</v>
      </c>
      <c r="G60">
        <v>0</v>
      </c>
      <c r="H60">
        <v>49</v>
      </c>
      <c r="I60" s="183" t="s">
        <v>6632</v>
      </c>
      <c r="J60" s="183" t="s">
        <v>12058</v>
      </c>
      <c r="K60">
        <v>0</v>
      </c>
      <c r="L60">
        <v>49</v>
      </c>
    </row>
    <row r="61" spans="1:12">
      <c r="A61" s="183" t="s">
        <v>6679</v>
      </c>
      <c r="B61" s="183" t="s">
        <v>6680</v>
      </c>
      <c r="C61">
        <v>10850250</v>
      </c>
      <c r="D61">
        <v>10</v>
      </c>
      <c r="E61">
        <v>0</v>
      </c>
      <c r="F61">
        <v>0</v>
      </c>
      <c r="G61">
        <v>0</v>
      </c>
      <c r="H61">
        <v>10</v>
      </c>
      <c r="I61" s="183" t="s">
        <v>6632</v>
      </c>
      <c r="J61" s="183" t="s">
        <v>12060</v>
      </c>
      <c r="K61">
        <v>0</v>
      </c>
      <c r="L61">
        <v>10</v>
      </c>
    </row>
    <row r="62" spans="1:12">
      <c r="A62" s="183" t="s">
        <v>6786</v>
      </c>
      <c r="B62" s="183" t="s">
        <v>6787</v>
      </c>
      <c r="C62">
        <v>10850252</v>
      </c>
      <c r="D62">
        <v>46</v>
      </c>
      <c r="E62">
        <v>0</v>
      </c>
      <c r="F62">
        <v>0</v>
      </c>
      <c r="G62">
        <v>0</v>
      </c>
      <c r="H62">
        <v>46</v>
      </c>
      <c r="I62" s="183" t="s">
        <v>6632</v>
      </c>
      <c r="J62" s="183" t="s">
        <v>12060</v>
      </c>
      <c r="K62">
        <v>0</v>
      </c>
      <c r="L62">
        <v>46</v>
      </c>
    </row>
    <row r="63" spans="1:12">
      <c r="A63" s="183" t="s">
        <v>6748</v>
      </c>
      <c r="B63" s="183" t="s">
        <v>6749</v>
      </c>
      <c r="C63">
        <v>10850276</v>
      </c>
      <c r="D63">
        <v>4</v>
      </c>
      <c r="E63">
        <v>0</v>
      </c>
      <c r="F63">
        <v>0</v>
      </c>
      <c r="G63">
        <v>0</v>
      </c>
      <c r="H63">
        <v>4</v>
      </c>
      <c r="I63" s="183" t="s">
        <v>6632</v>
      </c>
      <c r="J63" s="183" t="s">
        <v>12060</v>
      </c>
      <c r="K63">
        <v>0</v>
      </c>
      <c r="L63">
        <v>4</v>
      </c>
    </row>
    <row r="64" spans="1:12">
      <c r="A64" s="183" t="s">
        <v>8656</v>
      </c>
      <c r="B64" s="183" t="s">
        <v>8657</v>
      </c>
      <c r="C64">
        <v>10870207</v>
      </c>
      <c r="D64">
        <v>45</v>
      </c>
      <c r="E64">
        <v>0</v>
      </c>
      <c r="F64">
        <v>0</v>
      </c>
      <c r="G64">
        <v>0</v>
      </c>
      <c r="H64">
        <v>45</v>
      </c>
      <c r="I64" s="183" t="s">
        <v>7602</v>
      </c>
      <c r="J64" s="183" t="s">
        <v>12060</v>
      </c>
      <c r="K64">
        <v>0</v>
      </c>
      <c r="L64">
        <v>45</v>
      </c>
    </row>
    <row r="65" spans="1:12">
      <c r="A65" s="183" t="s">
        <v>8654</v>
      </c>
      <c r="B65" s="183" t="s">
        <v>8655</v>
      </c>
      <c r="C65">
        <v>10870209</v>
      </c>
      <c r="D65">
        <v>48</v>
      </c>
      <c r="E65">
        <v>0</v>
      </c>
      <c r="F65">
        <v>0</v>
      </c>
      <c r="G65">
        <v>0</v>
      </c>
      <c r="H65">
        <v>48</v>
      </c>
      <c r="I65" s="183" t="s">
        <v>7602</v>
      </c>
      <c r="J65" s="183" t="s">
        <v>12060</v>
      </c>
      <c r="K65">
        <v>0</v>
      </c>
      <c r="L65">
        <v>48</v>
      </c>
    </row>
    <row r="66" spans="1:12">
      <c r="A66" s="183" t="s">
        <v>7617</v>
      </c>
      <c r="B66" s="183" t="s">
        <v>7618</v>
      </c>
      <c r="C66">
        <v>10870215</v>
      </c>
      <c r="D66">
        <v>39</v>
      </c>
      <c r="E66">
        <v>0</v>
      </c>
      <c r="F66">
        <v>0</v>
      </c>
      <c r="G66">
        <v>0</v>
      </c>
      <c r="H66">
        <v>39</v>
      </c>
      <c r="I66" s="183" t="s">
        <v>7602</v>
      </c>
      <c r="J66" s="183" t="s">
        <v>12059</v>
      </c>
      <c r="K66">
        <v>0</v>
      </c>
      <c r="L66">
        <v>39</v>
      </c>
    </row>
    <row r="67" spans="1:12">
      <c r="A67" s="183" t="s">
        <v>7613</v>
      </c>
      <c r="B67" s="183" t="s">
        <v>7614</v>
      </c>
      <c r="C67">
        <v>10870234</v>
      </c>
      <c r="D67">
        <v>42</v>
      </c>
      <c r="E67">
        <v>0</v>
      </c>
      <c r="F67">
        <v>0</v>
      </c>
      <c r="G67">
        <v>0</v>
      </c>
      <c r="H67">
        <v>42</v>
      </c>
      <c r="I67" s="183" t="s">
        <v>7602</v>
      </c>
      <c r="J67" s="183" t="s">
        <v>12054</v>
      </c>
      <c r="K67">
        <v>0</v>
      </c>
      <c r="L67">
        <v>42</v>
      </c>
    </row>
    <row r="68" spans="1:12">
      <c r="A68" s="183" t="s">
        <v>8668</v>
      </c>
      <c r="B68" s="183" t="s">
        <v>8669</v>
      </c>
      <c r="C68">
        <v>10870238</v>
      </c>
      <c r="D68">
        <v>49</v>
      </c>
      <c r="E68">
        <v>0</v>
      </c>
      <c r="F68">
        <v>0</v>
      </c>
      <c r="G68">
        <v>0</v>
      </c>
      <c r="H68">
        <v>49</v>
      </c>
      <c r="I68" s="183" t="s">
        <v>7602</v>
      </c>
      <c r="J68" s="183" t="s">
        <v>12061</v>
      </c>
      <c r="K68">
        <v>0</v>
      </c>
      <c r="L68">
        <v>49</v>
      </c>
    </row>
    <row r="69" spans="1:12">
      <c r="A69" s="183" t="s">
        <v>7432</v>
      </c>
      <c r="B69" s="183" t="s">
        <v>7433</v>
      </c>
      <c r="C69">
        <v>10890230</v>
      </c>
      <c r="D69">
        <v>95</v>
      </c>
      <c r="E69">
        <v>0</v>
      </c>
      <c r="F69">
        <v>0</v>
      </c>
      <c r="G69">
        <v>0</v>
      </c>
      <c r="H69">
        <v>95</v>
      </c>
      <c r="I69" s="183" t="s">
        <v>7423</v>
      </c>
      <c r="J69" s="183" t="s">
        <v>12052</v>
      </c>
      <c r="K69">
        <v>0</v>
      </c>
      <c r="L69">
        <v>95</v>
      </c>
    </row>
    <row r="70" spans="1:12">
      <c r="A70" s="183" t="s">
        <v>7451</v>
      </c>
      <c r="B70" s="183" t="s">
        <v>7452</v>
      </c>
      <c r="C70">
        <v>10890238</v>
      </c>
      <c r="D70">
        <v>96</v>
      </c>
      <c r="E70">
        <v>0</v>
      </c>
      <c r="F70">
        <v>0</v>
      </c>
      <c r="G70">
        <v>0</v>
      </c>
      <c r="H70">
        <v>96</v>
      </c>
      <c r="I70" s="183" t="s">
        <v>7423</v>
      </c>
      <c r="J70" s="183" t="s">
        <v>12061</v>
      </c>
      <c r="K70">
        <v>0</v>
      </c>
      <c r="L70">
        <v>96</v>
      </c>
    </row>
    <row r="71" spans="1:12">
      <c r="A71" s="183" t="s">
        <v>7615</v>
      </c>
      <c r="B71" s="183" t="s">
        <v>7616</v>
      </c>
      <c r="C71">
        <v>11870214</v>
      </c>
      <c r="D71">
        <v>2</v>
      </c>
      <c r="E71">
        <v>0</v>
      </c>
      <c r="F71">
        <v>0</v>
      </c>
      <c r="G71">
        <v>0</v>
      </c>
      <c r="H71">
        <v>2</v>
      </c>
      <c r="I71" s="183" t="s">
        <v>1132</v>
      </c>
      <c r="J71" s="183" t="s">
        <v>12059</v>
      </c>
      <c r="K71">
        <v>0</v>
      </c>
      <c r="L71">
        <v>2</v>
      </c>
    </row>
    <row r="72" spans="1:12">
      <c r="A72" s="183" t="s">
        <v>5527</v>
      </c>
      <c r="B72" s="183" t="s">
        <v>5528</v>
      </c>
      <c r="C72">
        <v>11870217</v>
      </c>
      <c r="D72">
        <v>17</v>
      </c>
      <c r="E72">
        <v>0</v>
      </c>
      <c r="F72">
        <v>0</v>
      </c>
      <c r="G72">
        <v>0</v>
      </c>
      <c r="H72">
        <v>17</v>
      </c>
      <c r="I72" s="183" t="s">
        <v>1132</v>
      </c>
      <c r="J72" s="183" t="s">
        <v>12057</v>
      </c>
      <c r="K72">
        <v>0</v>
      </c>
      <c r="L72">
        <v>17</v>
      </c>
    </row>
    <row r="73" spans="1:12">
      <c r="A73" s="183" t="s">
        <v>43</v>
      </c>
      <c r="B73" s="183" t="s">
        <v>44</v>
      </c>
      <c r="C73">
        <v>11870236</v>
      </c>
      <c r="D73">
        <v>108</v>
      </c>
      <c r="E73">
        <v>0</v>
      </c>
      <c r="F73">
        <v>0</v>
      </c>
      <c r="G73">
        <v>0</v>
      </c>
      <c r="H73">
        <v>108</v>
      </c>
      <c r="I73" s="183" t="s">
        <v>1132</v>
      </c>
      <c r="J73" s="183" t="s">
        <v>12058</v>
      </c>
      <c r="K73">
        <v>0</v>
      </c>
      <c r="L73">
        <v>108</v>
      </c>
    </row>
    <row r="74" spans="1:12">
      <c r="A74" s="183" t="s">
        <v>7270</v>
      </c>
      <c r="B74" s="183" t="s">
        <v>7271</v>
      </c>
      <c r="C74">
        <v>50200509</v>
      </c>
      <c r="D74">
        <v>15</v>
      </c>
      <c r="E74">
        <v>0</v>
      </c>
      <c r="F74">
        <v>0</v>
      </c>
      <c r="G74">
        <v>0</v>
      </c>
      <c r="H74">
        <v>15</v>
      </c>
      <c r="I74" s="183" t="s">
        <v>1017</v>
      </c>
      <c r="J74" s="183" t="s">
        <v>12052</v>
      </c>
      <c r="K74">
        <v>0</v>
      </c>
      <c r="L74">
        <v>15</v>
      </c>
    </row>
    <row r="75" spans="1:12">
      <c r="A75" s="183" t="s">
        <v>67</v>
      </c>
      <c r="B75" s="183" t="s">
        <v>68</v>
      </c>
      <c r="C75">
        <v>50203218</v>
      </c>
      <c r="D75">
        <v>19</v>
      </c>
      <c r="E75">
        <v>0</v>
      </c>
      <c r="F75">
        <v>0</v>
      </c>
      <c r="G75">
        <v>0</v>
      </c>
      <c r="H75">
        <v>19</v>
      </c>
      <c r="I75" s="183" t="s">
        <v>1017</v>
      </c>
      <c r="J75" s="183" t="s">
        <v>12055</v>
      </c>
      <c r="K75">
        <v>0</v>
      </c>
      <c r="L75">
        <v>19</v>
      </c>
    </row>
    <row r="76" spans="1:12">
      <c r="A76" s="183" t="s">
        <v>69</v>
      </c>
      <c r="B76" s="183" t="s">
        <v>70</v>
      </c>
      <c r="C76">
        <v>50203518</v>
      </c>
      <c r="D76">
        <v>42</v>
      </c>
      <c r="E76">
        <v>0</v>
      </c>
      <c r="F76">
        <v>0</v>
      </c>
      <c r="G76">
        <v>0</v>
      </c>
      <c r="H76">
        <v>42</v>
      </c>
      <c r="I76" s="183" t="s">
        <v>1017</v>
      </c>
      <c r="J76" s="183" t="s">
        <v>12059</v>
      </c>
      <c r="K76">
        <v>0</v>
      </c>
      <c r="L76">
        <v>42</v>
      </c>
    </row>
    <row r="77" spans="1:12">
      <c r="A77" s="183" t="s">
        <v>7030</v>
      </c>
      <c r="B77" s="183" t="s">
        <v>7031</v>
      </c>
      <c r="C77">
        <v>50204309</v>
      </c>
      <c r="D77">
        <v>17</v>
      </c>
      <c r="E77">
        <v>0</v>
      </c>
      <c r="F77">
        <v>0</v>
      </c>
      <c r="G77">
        <v>0</v>
      </c>
      <c r="H77">
        <v>17</v>
      </c>
      <c r="I77" s="183" t="s">
        <v>1017</v>
      </c>
      <c r="J77" s="183" t="s">
        <v>12056</v>
      </c>
      <c r="K77">
        <v>0</v>
      </c>
      <c r="L77">
        <v>17</v>
      </c>
    </row>
    <row r="78" spans="1:12">
      <c r="A78" s="183" t="s">
        <v>6960</v>
      </c>
      <c r="B78" s="183" t="s">
        <v>6961</v>
      </c>
      <c r="C78">
        <v>50205109</v>
      </c>
      <c r="D78">
        <v>16</v>
      </c>
      <c r="E78">
        <v>0</v>
      </c>
      <c r="F78">
        <v>0</v>
      </c>
      <c r="G78">
        <v>0</v>
      </c>
      <c r="H78">
        <v>16</v>
      </c>
      <c r="I78" s="183" t="s">
        <v>1017</v>
      </c>
      <c r="J78" s="183" t="s">
        <v>12056</v>
      </c>
      <c r="K78">
        <v>0</v>
      </c>
      <c r="L78">
        <v>16</v>
      </c>
    </row>
    <row r="79" spans="1:12">
      <c r="A79" s="183" t="s">
        <v>74</v>
      </c>
      <c r="B79" s="183" t="s">
        <v>75</v>
      </c>
      <c r="C79">
        <v>50205118</v>
      </c>
      <c r="D79">
        <v>77</v>
      </c>
      <c r="E79">
        <v>0</v>
      </c>
      <c r="F79">
        <v>0</v>
      </c>
      <c r="G79">
        <v>0</v>
      </c>
      <c r="H79">
        <v>77</v>
      </c>
      <c r="I79" s="183" t="s">
        <v>1017</v>
      </c>
      <c r="J79" s="183" t="s">
        <v>12052</v>
      </c>
      <c r="K79">
        <v>0</v>
      </c>
      <c r="L79">
        <v>77</v>
      </c>
    </row>
    <row r="80" spans="1:12">
      <c r="A80" s="183" t="s">
        <v>2995</v>
      </c>
      <c r="B80" s="183" t="s">
        <v>2996</v>
      </c>
      <c r="C80">
        <v>50206118</v>
      </c>
      <c r="D80">
        <v>48</v>
      </c>
      <c r="E80">
        <v>0</v>
      </c>
      <c r="F80">
        <v>0</v>
      </c>
      <c r="G80">
        <v>0</v>
      </c>
      <c r="H80">
        <v>48</v>
      </c>
      <c r="I80" s="183" t="s">
        <v>1017</v>
      </c>
      <c r="J80" s="183" t="s">
        <v>12060</v>
      </c>
      <c r="K80">
        <v>0</v>
      </c>
      <c r="L80">
        <v>48</v>
      </c>
    </row>
    <row r="81" spans="1:12">
      <c r="A81" s="183" t="s">
        <v>92</v>
      </c>
      <c r="B81" s="183" t="s">
        <v>93</v>
      </c>
      <c r="C81">
        <v>50207518</v>
      </c>
      <c r="D81">
        <v>21</v>
      </c>
      <c r="E81">
        <v>0</v>
      </c>
      <c r="F81">
        <v>0</v>
      </c>
      <c r="G81">
        <v>0</v>
      </c>
      <c r="H81">
        <v>21</v>
      </c>
      <c r="I81" s="183" t="s">
        <v>1017</v>
      </c>
      <c r="J81" s="183" t="s">
        <v>12057</v>
      </c>
      <c r="K81">
        <v>0</v>
      </c>
      <c r="L81">
        <v>21</v>
      </c>
    </row>
    <row r="82" spans="1:12">
      <c r="A82" s="183" t="s">
        <v>7161</v>
      </c>
      <c r="B82" s="183" t="s">
        <v>7162</v>
      </c>
      <c r="C82">
        <v>50208418</v>
      </c>
      <c r="D82">
        <v>10</v>
      </c>
      <c r="E82">
        <v>0</v>
      </c>
      <c r="F82">
        <v>0</v>
      </c>
      <c r="G82">
        <v>0</v>
      </c>
      <c r="H82">
        <v>10</v>
      </c>
      <c r="I82" s="183" t="s">
        <v>1017</v>
      </c>
      <c r="J82" s="183" t="s">
        <v>12053</v>
      </c>
      <c r="K82">
        <v>0</v>
      </c>
      <c r="L82">
        <v>10</v>
      </c>
    </row>
    <row r="83" spans="1:12">
      <c r="A83" s="183" t="s">
        <v>7066</v>
      </c>
      <c r="B83" s="183" t="s">
        <v>7067</v>
      </c>
      <c r="C83">
        <v>50209409</v>
      </c>
      <c r="D83">
        <v>19</v>
      </c>
      <c r="E83">
        <v>0</v>
      </c>
      <c r="F83">
        <v>0</v>
      </c>
      <c r="G83">
        <v>0</v>
      </c>
      <c r="H83">
        <v>19</v>
      </c>
      <c r="I83" s="183" t="s">
        <v>1017</v>
      </c>
      <c r="J83" s="183" t="s">
        <v>12060</v>
      </c>
      <c r="K83">
        <v>0</v>
      </c>
      <c r="L83">
        <v>19</v>
      </c>
    </row>
    <row r="84" spans="1:12">
      <c r="A84" s="183" t="s">
        <v>6938</v>
      </c>
      <c r="B84" s="183" t="s">
        <v>6939</v>
      </c>
      <c r="C84">
        <v>50211109</v>
      </c>
      <c r="D84">
        <v>30</v>
      </c>
      <c r="E84">
        <v>0</v>
      </c>
      <c r="F84">
        <v>0</v>
      </c>
      <c r="G84">
        <v>0</v>
      </c>
      <c r="H84">
        <v>30</v>
      </c>
      <c r="I84" s="183" t="s">
        <v>1017</v>
      </c>
      <c r="J84" s="183" t="s">
        <v>12059</v>
      </c>
      <c r="K84">
        <v>0</v>
      </c>
      <c r="L84">
        <v>30</v>
      </c>
    </row>
    <row r="85" spans="1:12">
      <c r="A85" s="183" t="s">
        <v>5012</v>
      </c>
      <c r="B85" s="183" t="s">
        <v>5013</v>
      </c>
      <c r="C85">
        <v>50212318</v>
      </c>
      <c r="D85">
        <v>11</v>
      </c>
      <c r="E85">
        <v>0</v>
      </c>
      <c r="F85">
        <v>0</v>
      </c>
      <c r="G85">
        <v>0</v>
      </c>
      <c r="H85">
        <v>11</v>
      </c>
      <c r="I85" s="183" t="s">
        <v>1017</v>
      </c>
      <c r="J85" s="183" t="s">
        <v>12055</v>
      </c>
      <c r="K85">
        <v>0</v>
      </c>
      <c r="L85">
        <v>11</v>
      </c>
    </row>
    <row r="86" spans="1:12">
      <c r="A86" s="183" t="s">
        <v>104</v>
      </c>
      <c r="B86" s="183" t="s">
        <v>105</v>
      </c>
      <c r="C86">
        <v>50212418</v>
      </c>
      <c r="D86">
        <v>23</v>
      </c>
      <c r="E86">
        <v>0</v>
      </c>
      <c r="F86">
        <v>0</v>
      </c>
      <c r="G86">
        <v>0</v>
      </c>
      <c r="H86">
        <v>23</v>
      </c>
      <c r="I86" s="183" t="s">
        <v>1017</v>
      </c>
      <c r="J86" s="183" t="s">
        <v>12055</v>
      </c>
      <c r="K86">
        <v>0</v>
      </c>
      <c r="L86">
        <v>23</v>
      </c>
    </row>
    <row r="87" spans="1:12">
      <c r="A87" s="183" t="s">
        <v>6920</v>
      </c>
      <c r="B87" s="183" t="s">
        <v>6921</v>
      </c>
      <c r="C87">
        <v>50213109</v>
      </c>
      <c r="D87">
        <v>24</v>
      </c>
      <c r="E87">
        <v>0</v>
      </c>
      <c r="F87">
        <v>0</v>
      </c>
      <c r="G87">
        <v>0</v>
      </c>
      <c r="H87">
        <v>24</v>
      </c>
      <c r="I87" s="183" t="s">
        <v>1017</v>
      </c>
      <c r="J87" s="183" t="s">
        <v>12056</v>
      </c>
      <c r="K87">
        <v>0</v>
      </c>
      <c r="L87">
        <v>24</v>
      </c>
    </row>
    <row r="88" spans="1:12">
      <c r="A88" s="183" t="s">
        <v>7096</v>
      </c>
      <c r="B88" s="183" t="s">
        <v>7097</v>
      </c>
      <c r="C88">
        <v>50213309</v>
      </c>
      <c r="D88">
        <v>26</v>
      </c>
      <c r="E88">
        <v>0</v>
      </c>
      <c r="F88">
        <v>0</v>
      </c>
      <c r="G88">
        <v>0</v>
      </c>
      <c r="H88">
        <v>26</v>
      </c>
      <c r="I88" s="183" t="s">
        <v>1017</v>
      </c>
      <c r="J88" s="183" t="s">
        <v>12057</v>
      </c>
      <c r="K88">
        <v>0</v>
      </c>
      <c r="L88">
        <v>26</v>
      </c>
    </row>
    <row r="89" spans="1:12">
      <c r="A89" s="183" t="s">
        <v>112</v>
      </c>
      <c r="B89" s="183" t="s">
        <v>113</v>
      </c>
      <c r="C89">
        <v>50214518</v>
      </c>
      <c r="D89">
        <v>25</v>
      </c>
      <c r="E89">
        <v>0</v>
      </c>
      <c r="F89">
        <v>0</v>
      </c>
      <c r="G89">
        <v>0</v>
      </c>
      <c r="H89">
        <v>25</v>
      </c>
      <c r="I89" s="183" t="s">
        <v>1017</v>
      </c>
      <c r="J89" s="183" t="s">
        <v>12052</v>
      </c>
      <c r="K89">
        <v>0</v>
      </c>
      <c r="L89">
        <v>25</v>
      </c>
    </row>
    <row r="90" spans="1:12">
      <c r="A90" s="183" t="s">
        <v>6053</v>
      </c>
      <c r="B90" s="183" t="s">
        <v>6054</v>
      </c>
      <c r="C90">
        <v>50216218</v>
      </c>
      <c r="D90">
        <v>2</v>
      </c>
      <c r="E90">
        <v>0</v>
      </c>
      <c r="F90">
        <v>0</v>
      </c>
      <c r="G90">
        <v>0</v>
      </c>
      <c r="H90">
        <v>2</v>
      </c>
      <c r="I90" s="183" t="s">
        <v>1017</v>
      </c>
      <c r="J90" s="183" t="s">
        <v>12055</v>
      </c>
      <c r="K90">
        <v>0</v>
      </c>
      <c r="L90">
        <v>2</v>
      </c>
    </row>
    <row r="91" spans="1:12">
      <c r="A91" s="183" t="s">
        <v>7254</v>
      </c>
      <c r="B91" s="183" t="s">
        <v>7255</v>
      </c>
      <c r="C91">
        <v>50216509</v>
      </c>
      <c r="D91">
        <v>25</v>
      </c>
      <c r="E91">
        <v>0</v>
      </c>
      <c r="F91">
        <v>0</v>
      </c>
      <c r="G91">
        <v>0</v>
      </c>
      <c r="H91">
        <v>25</v>
      </c>
      <c r="I91" s="183" t="s">
        <v>1017</v>
      </c>
      <c r="J91" s="183" t="s">
        <v>12060</v>
      </c>
      <c r="K91">
        <v>0</v>
      </c>
      <c r="L91">
        <v>25</v>
      </c>
    </row>
    <row r="92" spans="1:12">
      <c r="A92" s="183" t="s">
        <v>6055</v>
      </c>
      <c r="B92" s="183" t="s">
        <v>6056</v>
      </c>
      <c r="C92">
        <v>50216518</v>
      </c>
      <c r="D92">
        <v>6</v>
      </c>
      <c r="E92">
        <v>0</v>
      </c>
      <c r="F92">
        <v>0</v>
      </c>
      <c r="G92">
        <v>0</v>
      </c>
      <c r="H92">
        <v>6</v>
      </c>
      <c r="I92" s="183" t="s">
        <v>1017</v>
      </c>
      <c r="J92" s="183" t="s">
        <v>12054</v>
      </c>
      <c r="K92">
        <v>0</v>
      </c>
      <c r="L92">
        <v>6</v>
      </c>
    </row>
    <row r="93" spans="1:12">
      <c r="A93" s="183" t="s">
        <v>5004</v>
      </c>
      <c r="B93" s="183" t="s">
        <v>5005</v>
      </c>
      <c r="C93">
        <v>50217218</v>
      </c>
      <c r="D93">
        <v>6</v>
      </c>
      <c r="E93">
        <v>0</v>
      </c>
      <c r="F93">
        <v>0</v>
      </c>
      <c r="G93">
        <v>0</v>
      </c>
      <c r="H93">
        <v>6</v>
      </c>
      <c r="I93" s="183" t="s">
        <v>1017</v>
      </c>
      <c r="J93" s="183" t="s">
        <v>12054</v>
      </c>
      <c r="K93">
        <v>0</v>
      </c>
      <c r="L93">
        <v>6</v>
      </c>
    </row>
    <row r="94" spans="1:12">
      <c r="A94" s="183" t="s">
        <v>5529</v>
      </c>
      <c r="B94" s="183" t="s">
        <v>5530</v>
      </c>
      <c r="C94" t="s">
        <v>12068</v>
      </c>
      <c r="D94">
        <v>184</v>
      </c>
      <c r="E94">
        <v>0</v>
      </c>
      <c r="F94">
        <v>0</v>
      </c>
      <c r="G94">
        <v>0</v>
      </c>
      <c r="H94">
        <v>184</v>
      </c>
      <c r="I94" s="183" t="s">
        <v>1324</v>
      </c>
      <c r="J94" s="183" t="s">
        <v>12055</v>
      </c>
      <c r="K94">
        <v>0</v>
      </c>
      <c r="L94">
        <v>184</v>
      </c>
    </row>
    <row r="95" spans="1:12">
      <c r="A95" s="183" t="s">
        <v>5766</v>
      </c>
      <c r="B95" s="183" t="s">
        <v>5767</v>
      </c>
      <c r="C95" t="s">
        <v>12069</v>
      </c>
      <c r="D95">
        <v>796</v>
      </c>
      <c r="E95">
        <v>0</v>
      </c>
      <c r="F95">
        <v>0</v>
      </c>
      <c r="G95">
        <v>0</v>
      </c>
      <c r="H95">
        <v>796</v>
      </c>
      <c r="I95" s="183" t="s">
        <v>1324</v>
      </c>
      <c r="J95" s="183" t="s">
        <v>12057</v>
      </c>
      <c r="K95">
        <v>0</v>
      </c>
      <c r="L95">
        <v>796</v>
      </c>
    </row>
    <row r="96" spans="1:12">
      <c r="A96" s="183" t="s">
        <v>6076</v>
      </c>
      <c r="B96" s="183" t="s">
        <v>6077</v>
      </c>
      <c r="C96" t="s">
        <v>12070</v>
      </c>
      <c r="D96">
        <v>39</v>
      </c>
      <c r="E96">
        <v>0</v>
      </c>
      <c r="F96">
        <v>0</v>
      </c>
      <c r="G96">
        <v>0</v>
      </c>
      <c r="H96">
        <v>39</v>
      </c>
      <c r="I96" s="183" t="s">
        <v>1324</v>
      </c>
      <c r="J96" s="183" t="s">
        <v>12063</v>
      </c>
      <c r="K96">
        <v>0</v>
      </c>
      <c r="L96">
        <v>39</v>
      </c>
    </row>
    <row r="97" spans="1:12">
      <c r="A97" s="183" t="s">
        <v>6078</v>
      </c>
      <c r="B97" s="183" t="s">
        <v>6079</v>
      </c>
      <c r="C97" t="s">
        <v>12071</v>
      </c>
      <c r="D97">
        <v>64</v>
      </c>
      <c r="E97">
        <v>0</v>
      </c>
      <c r="F97">
        <v>0</v>
      </c>
      <c r="G97">
        <v>0</v>
      </c>
      <c r="H97">
        <v>64</v>
      </c>
      <c r="I97" s="183" t="s">
        <v>1324</v>
      </c>
      <c r="J97" s="183" t="s">
        <v>12061</v>
      </c>
      <c r="K97">
        <v>0</v>
      </c>
      <c r="L97">
        <v>64</v>
      </c>
    </row>
    <row r="98" spans="1:12">
      <c r="A98" s="183" t="s">
        <v>21</v>
      </c>
      <c r="B98" s="183" t="s">
        <v>22</v>
      </c>
      <c r="C98">
        <v>16870205</v>
      </c>
      <c r="D98">
        <v>77</v>
      </c>
      <c r="E98">
        <v>0</v>
      </c>
      <c r="F98">
        <v>4</v>
      </c>
      <c r="G98">
        <v>0</v>
      </c>
      <c r="H98">
        <v>81</v>
      </c>
      <c r="I98" s="183" t="s">
        <v>1110</v>
      </c>
      <c r="J98" s="183" t="s">
        <v>12053</v>
      </c>
      <c r="K98">
        <v>0</v>
      </c>
      <c r="L98">
        <v>77</v>
      </c>
    </row>
    <row r="99" spans="1:12">
      <c r="A99" s="183" t="s">
        <v>29</v>
      </c>
      <c r="B99" s="183" t="s">
        <v>30</v>
      </c>
      <c r="C99">
        <v>16870238</v>
      </c>
      <c r="D99">
        <v>33</v>
      </c>
      <c r="E99">
        <v>0</v>
      </c>
      <c r="F99">
        <v>0</v>
      </c>
      <c r="G99">
        <v>0</v>
      </c>
      <c r="H99">
        <v>33</v>
      </c>
      <c r="I99" s="183" t="s">
        <v>1110</v>
      </c>
      <c r="J99" s="183" t="s">
        <v>12061</v>
      </c>
      <c r="K99">
        <v>0</v>
      </c>
      <c r="L99">
        <v>33</v>
      </c>
    </row>
    <row r="100" spans="1:12">
      <c r="A100" s="183" t="s">
        <v>31</v>
      </c>
      <c r="B100" s="183" t="s">
        <v>32</v>
      </c>
      <c r="C100">
        <v>16870240</v>
      </c>
      <c r="D100">
        <v>50</v>
      </c>
      <c r="E100">
        <v>0</v>
      </c>
      <c r="F100">
        <v>0</v>
      </c>
      <c r="G100">
        <v>0</v>
      </c>
      <c r="H100">
        <v>50</v>
      </c>
      <c r="I100" s="183" t="s">
        <v>1110</v>
      </c>
      <c r="J100" s="183" t="s">
        <v>12055</v>
      </c>
      <c r="K100">
        <v>0</v>
      </c>
      <c r="L100">
        <v>50</v>
      </c>
    </row>
    <row r="101" spans="1:12">
      <c r="A101" s="183" t="s">
        <v>6645</v>
      </c>
      <c r="B101" s="183" t="s">
        <v>6646</v>
      </c>
      <c r="C101">
        <v>10850191</v>
      </c>
      <c r="D101">
        <v>124</v>
      </c>
      <c r="E101">
        <v>0</v>
      </c>
      <c r="F101">
        <v>0</v>
      </c>
      <c r="G101">
        <v>0</v>
      </c>
      <c r="H101">
        <v>124</v>
      </c>
      <c r="I101" s="183" t="s">
        <v>6632</v>
      </c>
      <c r="J101" s="183" t="s">
        <v>12056</v>
      </c>
      <c r="K101">
        <v>0</v>
      </c>
      <c r="L101">
        <v>124</v>
      </c>
    </row>
    <row r="102" spans="1:12">
      <c r="A102" s="183" t="s">
        <v>6778</v>
      </c>
      <c r="B102" s="183" t="s">
        <v>6779</v>
      </c>
      <c r="C102">
        <v>10850185</v>
      </c>
      <c r="D102">
        <v>77</v>
      </c>
      <c r="E102">
        <v>0</v>
      </c>
      <c r="F102">
        <v>0</v>
      </c>
      <c r="G102">
        <v>0</v>
      </c>
      <c r="H102">
        <v>77</v>
      </c>
      <c r="I102" s="183" t="s">
        <v>6632</v>
      </c>
      <c r="J102" s="183" t="s">
        <v>12054</v>
      </c>
      <c r="K102">
        <v>0</v>
      </c>
      <c r="L102">
        <v>77</v>
      </c>
    </row>
    <row r="103" spans="1:12">
      <c r="A103" s="183" t="s">
        <v>6804</v>
      </c>
      <c r="B103" s="183" t="s">
        <v>6805</v>
      </c>
      <c r="C103">
        <v>10850177</v>
      </c>
      <c r="D103">
        <v>82</v>
      </c>
      <c r="E103">
        <v>0</v>
      </c>
      <c r="F103">
        <v>0</v>
      </c>
      <c r="G103">
        <v>0</v>
      </c>
      <c r="H103">
        <v>82</v>
      </c>
      <c r="I103" s="183" t="s">
        <v>6632</v>
      </c>
      <c r="J103" s="183" t="s">
        <v>12058</v>
      </c>
      <c r="K103">
        <v>0</v>
      </c>
      <c r="L103">
        <v>82</v>
      </c>
    </row>
    <row r="104" spans="1:12">
      <c r="A104" s="183" t="s">
        <v>6796</v>
      </c>
      <c r="B104" s="183" t="s">
        <v>6797</v>
      </c>
      <c r="C104">
        <v>10850156</v>
      </c>
      <c r="D104">
        <v>63</v>
      </c>
      <c r="E104">
        <v>0</v>
      </c>
      <c r="F104">
        <v>0</v>
      </c>
      <c r="G104">
        <v>0</v>
      </c>
      <c r="H104">
        <v>63</v>
      </c>
      <c r="I104" s="183" t="s">
        <v>6632</v>
      </c>
      <c r="J104" s="183" t="s">
        <v>12052</v>
      </c>
      <c r="K104">
        <v>0</v>
      </c>
      <c r="L104">
        <v>63</v>
      </c>
    </row>
    <row r="105" spans="1:12">
      <c r="A105" s="183" t="s">
        <v>6641</v>
      </c>
      <c r="B105" s="183" t="s">
        <v>6642</v>
      </c>
      <c r="C105">
        <v>10850132</v>
      </c>
      <c r="D105">
        <v>93</v>
      </c>
      <c r="E105">
        <v>0</v>
      </c>
      <c r="F105">
        <v>0</v>
      </c>
      <c r="G105">
        <v>0</v>
      </c>
      <c r="H105">
        <v>93</v>
      </c>
      <c r="I105" s="183" t="s">
        <v>6632</v>
      </c>
      <c r="J105" s="183" t="s">
        <v>12059</v>
      </c>
      <c r="K105">
        <v>0</v>
      </c>
      <c r="L105">
        <v>93</v>
      </c>
    </row>
    <row r="106" spans="1:12">
      <c r="A106" s="183" t="s">
        <v>6762</v>
      </c>
      <c r="B106" s="183" t="s">
        <v>6763</v>
      </c>
      <c r="C106">
        <v>10850130</v>
      </c>
      <c r="D106">
        <v>42</v>
      </c>
      <c r="E106">
        <v>0</v>
      </c>
      <c r="F106">
        <v>0</v>
      </c>
      <c r="G106">
        <v>0</v>
      </c>
      <c r="H106">
        <v>42</v>
      </c>
      <c r="I106" s="183" t="s">
        <v>6632</v>
      </c>
      <c r="J106" s="183" t="s">
        <v>12054</v>
      </c>
      <c r="K106">
        <v>0</v>
      </c>
      <c r="L106">
        <v>42</v>
      </c>
    </row>
    <row r="107" spans="1:12">
      <c r="A107" s="183" t="s">
        <v>6665</v>
      </c>
      <c r="B107" s="183" t="s">
        <v>6666</v>
      </c>
      <c r="C107">
        <v>10850124</v>
      </c>
      <c r="D107">
        <v>57</v>
      </c>
      <c r="E107">
        <v>0</v>
      </c>
      <c r="F107">
        <v>0</v>
      </c>
      <c r="G107">
        <v>0</v>
      </c>
      <c r="H107">
        <v>57</v>
      </c>
      <c r="I107" s="183" t="s">
        <v>6632</v>
      </c>
      <c r="J107" s="183" t="s">
        <v>12054</v>
      </c>
      <c r="K107">
        <v>0</v>
      </c>
      <c r="L107">
        <v>57</v>
      </c>
    </row>
    <row r="108" spans="1:12">
      <c r="A108" s="183" t="s">
        <v>6806</v>
      </c>
      <c r="B108" s="183" t="s">
        <v>6807</v>
      </c>
      <c r="C108">
        <v>10850210</v>
      </c>
      <c r="D108">
        <v>9</v>
      </c>
      <c r="E108">
        <v>0</v>
      </c>
      <c r="F108">
        <v>0</v>
      </c>
      <c r="G108">
        <v>0</v>
      </c>
      <c r="H108">
        <v>9</v>
      </c>
      <c r="I108" s="183" t="s">
        <v>6632</v>
      </c>
      <c r="J108" s="183" t="s">
        <v>12067</v>
      </c>
      <c r="K108">
        <v>0</v>
      </c>
      <c r="L108">
        <v>9</v>
      </c>
    </row>
    <row r="109" spans="1:12">
      <c r="A109" s="183" t="s">
        <v>6766</v>
      </c>
      <c r="B109" s="183" t="s">
        <v>6767</v>
      </c>
      <c r="C109">
        <v>10850220</v>
      </c>
      <c r="D109">
        <v>9</v>
      </c>
      <c r="E109">
        <v>0</v>
      </c>
      <c r="F109">
        <v>0</v>
      </c>
      <c r="G109">
        <v>0</v>
      </c>
      <c r="H109">
        <v>9</v>
      </c>
      <c r="I109" s="183" t="s">
        <v>6632</v>
      </c>
      <c r="J109" s="183" t="s">
        <v>12053</v>
      </c>
      <c r="K109">
        <v>0</v>
      </c>
      <c r="L109">
        <v>9</v>
      </c>
    </row>
    <row r="110" spans="1:12">
      <c r="A110" s="183" t="s">
        <v>6683</v>
      </c>
      <c r="B110" s="183" t="s">
        <v>6684</v>
      </c>
      <c r="C110">
        <v>10850223</v>
      </c>
      <c r="D110">
        <v>17</v>
      </c>
      <c r="E110">
        <v>0</v>
      </c>
      <c r="F110">
        <v>0</v>
      </c>
      <c r="G110">
        <v>0</v>
      </c>
      <c r="H110">
        <v>17</v>
      </c>
      <c r="I110" s="183" t="s">
        <v>6632</v>
      </c>
      <c r="J110" s="183" t="s">
        <v>12067</v>
      </c>
      <c r="K110">
        <v>0</v>
      </c>
      <c r="L110">
        <v>17</v>
      </c>
    </row>
    <row r="111" spans="1:12">
      <c r="A111" s="183" t="s">
        <v>8890</v>
      </c>
      <c r="B111" s="183" t="s">
        <v>8891</v>
      </c>
      <c r="C111">
        <v>10850256</v>
      </c>
      <c r="D111">
        <v>33</v>
      </c>
      <c r="E111">
        <v>0</v>
      </c>
      <c r="F111">
        <v>0</v>
      </c>
      <c r="G111">
        <v>0</v>
      </c>
      <c r="H111">
        <v>33</v>
      </c>
      <c r="I111" s="183" t="s">
        <v>6632</v>
      </c>
      <c r="J111" s="183" t="s">
        <v>12060</v>
      </c>
      <c r="K111">
        <v>0</v>
      </c>
      <c r="L111">
        <v>33</v>
      </c>
    </row>
    <row r="112" spans="1:12">
      <c r="A112" s="183" t="s">
        <v>6764</v>
      </c>
      <c r="B112" s="183" t="s">
        <v>6765</v>
      </c>
      <c r="C112">
        <v>10850266</v>
      </c>
      <c r="D112">
        <v>55</v>
      </c>
      <c r="E112">
        <v>0</v>
      </c>
      <c r="F112">
        <v>0</v>
      </c>
      <c r="G112">
        <v>0</v>
      </c>
      <c r="H112">
        <v>55</v>
      </c>
      <c r="I112" s="183" t="s">
        <v>6632</v>
      </c>
      <c r="J112" s="183" t="s">
        <v>12060</v>
      </c>
      <c r="K112">
        <v>0</v>
      </c>
      <c r="L112">
        <v>55</v>
      </c>
    </row>
    <row r="113" spans="1:12">
      <c r="A113" s="183" t="s">
        <v>6685</v>
      </c>
      <c r="B113" s="183" t="s">
        <v>6686</v>
      </c>
      <c r="C113">
        <v>10850268</v>
      </c>
      <c r="D113">
        <v>62</v>
      </c>
      <c r="E113">
        <v>0</v>
      </c>
      <c r="F113">
        <v>0</v>
      </c>
      <c r="G113">
        <v>0</v>
      </c>
      <c r="H113">
        <v>62</v>
      </c>
      <c r="I113" s="183" t="s">
        <v>6632</v>
      </c>
      <c r="J113" s="183" t="s">
        <v>12061</v>
      </c>
      <c r="K113">
        <v>0</v>
      </c>
      <c r="L113">
        <v>62</v>
      </c>
    </row>
    <row r="114" spans="1:12">
      <c r="A114" s="183" t="s">
        <v>7639</v>
      </c>
      <c r="B114" s="183" t="s">
        <v>7640</v>
      </c>
      <c r="C114">
        <v>10870214</v>
      </c>
      <c r="D114">
        <v>23</v>
      </c>
      <c r="E114">
        <v>0</v>
      </c>
      <c r="F114">
        <v>0</v>
      </c>
      <c r="G114">
        <v>0</v>
      </c>
      <c r="H114">
        <v>23</v>
      </c>
      <c r="I114" s="183" t="s">
        <v>7602</v>
      </c>
      <c r="J114" s="183" t="s">
        <v>12052</v>
      </c>
      <c r="K114">
        <v>0</v>
      </c>
      <c r="L114">
        <v>23</v>
      </c>
    </row>
    <row r="115" spans="1:12">
      <c r="A115" s="183" t="s">
        <v>7607</v>
      </c>
      <c r="B115" s="183" t="s">
        <v>7608</v>
      </c>
      <c r="C115">
        <v>10870217</v>
      </c>
      <c r="D115">
        <v>38</v>
      </c>
      <c r="E115">
        <v>0</v>
      </c>
      <c r="F115">
        <v>0</v>
      </c>
      <c r="G115">
        <v>0</v>
      </c>
      <c r="H115">
        <v>38</v>
      </c>
      <c r="I115" s="183" t="s">
        <v>7602</v>
      </c>
      <c r="J115" s="183" t="s">
        <v>12057</v>
      </c>
      <c r="K115">
        <v>0</v>
      </c>
      <c r="L115">
        <v>38</v>
      </c>
    </row>
    <row r="116" spans="1:12">
      <c r="A116" s="183" t="s">
        <v>7625</v>
      </c>
      <c r="B116" s="183" t="s">
        <v>7626</v>
      </c>
      <c r="C116">
        <v>10870218</v>
      </c>
      <c r="D116">
        <v>44</v>
      </c>
      <c r="E116">
        <v>0</v>
      </c>
      <c r="F116">
        <v>0</v>
      </c>
      <c r="G116">
        <v>0</v>
      </c>
      <c r="H116">
        <v>44</v>
      </c>
      <c r="I116" s="183" t="s">
        <v>7602</v>
      </c>
      <c r="J116" s="183" t="s">
        <v>12054</v>
      </c>
      <c r="K116">
        <v>0</v>
      </c>
      <c r="L116">
        <v>44</v>
      </c>
    </row>
    <row r="117" spans="1:12">
      <c r="A117" s="183" t="s">
        <v>7609</v>
      </c>
      <c r="B117" s="183" t="s">
        <v>7610</v>
      </c>
      <c r="C117">
        <v>10870230</v>
      </c>
      <c r="D117">
        <v>43</v>
      </c>
      <c r="E117">
        <v>0</v>
      </c>
      <c r="F117">
        <v>0</v>
      </c>
      <c r="G117">
        <v>0</v>
      </c>
      <c r="H117">
        <v>43</v>
      </c>
      <c r="I117" s="183" t="s">
        <v>7602</v>
      </c>
      <c r="J117" s="183" t="s">
        <v>12057</v>
      </c>
      <c r="K117">
        <v>0</v>
      </c>
      <c r="L117">
        <v>43</v>
      </c>
    </row>
    <row r="118" spans="1:12">
      <c r="A118" s="183" t="s">
        <v>7446</v>
      </c>
      <c r="B118" s="183" t="s">
        <v>7447</v>
      </c>
      <c r="C118">
        <v>10890216</v>
      </c>
      <c r="D118">
        <v>92</v>
      </c>
      <c r="E118">
        <v>0</v>
      </c>
      <c r="F118">
        <v>0</v>
      </c>
      <c r="G118">
        <v>0</v>
      </c>
      <c r="H118">
        <v>92</v>
      </c>
      <c r="I118" s="183" t="s">
        <v>7423</v>
      </c>
      <c r="J118" s="183" t="s">
        <v>12052</v>
      </c>
      <c r="K118">
        <v>0</v>
      </c>
      <c r="L118">
        <v>92</v>
      </c>
    </row>
    <row r="119" spans="1:12">
      <c r="A119" s="183" t="s">
        <v>5531</v>
      </c>
      <c r="B119" s="183" t="s">
        <v>5532</v>
      </c>
      <c r="C119">
        <v>11870206</v>
      </c>
      <c r="D119">
        <v>27</v>
      </c>
      <c r="E119">
        <v>0</v>
      </c>
      <c r="F119">
        <v>0</v>
      </c>
      <c r="G119">
        <v>0</v>
      </c>
      <c r="H119">
        <v>27</v>
      </c>
      <c r="I119" s="183" t="s">
        <v>1132</v>
      </c>
      <c r="J119" s="183" t="s">
        <v>12054</v>
      </c>
      <c r="K119">
        <v>0</v>
      </c>
      <c r="L119">
        <v>27</v>
      </c>
    </row>
    <row r="120" spans="1:12">
      <c r="A120" s="183" t="s">
        <v>7623</v>
      </c>
      <c r="B120" s="183" t="s">
        <v>7624</v>
      </c>
      <c r="C120">
        <v>11870213</v>
      </c>
      <c r="D120">
        <v>2</v>
      </c>
      <c r="E120">
        <v>0</v>
      </c>
      <c r="F120">
        <v>0</v>
      </c>
      <c r="G120">
        <v>0</v>
      </c>
      <c r="H120">
        <v>2</v>
      </c>
      <c r="I120" s="183" t="s">
        <v>1132</v>
      </c>
      <c r="J120" s="183" t="s">
        <v>12054</v>
      </c>
      <c r="K120">
        <v>0</v>
      </c>
      <c r="L120">
        <v>2</v>
      </c>
    </row>
    <row r="121" spans="1:12">
      <c r="A121" s="183" t="s">
        <v>4192</v>
      </c>
      <c r="B121" s="183" t="s">
        <v>4193</v>
      </c>
      <c r="C121">
        <v>11870232</v>
      </c>
      <c r="D121">
        <v>72</v>
      </c>
      <c r="E121">
        <v>0</v>
      </c>
      <c r="F121">
        <v>0</v>
      </c>
      <c r="G121">
        <v>0</v>
      </c>
      <c r="H121">
        <v>72</v>
      </c>
      <c r="I121" s="183" t="s">
        <v>1132</v>
      </c>
      <c r="J121" s="183" t="s">
        <v>12059</v>
      </c>
      <c r="K121">
        <v>0</v>
      </c>
      <c r="L121">
        <v>72</v>
      </c>
    </row>
    <row r="122" spans="1:12">
      <c r="A122" s="183" t="s">
        <v>6952</v>
      </c>
      <c r="B122" s="183" t="s">
        <v>6953</v>
      </c>
      <c r="C122">
        <v>50200118</v>
      </c>
      <c r="D122">
        <v>30</v>
      </c>
      <c r="E122">
        <v>0</v>
      </c>
      <c r="F122">
        <v>0</v>
      </c>
      <c r="G122">
        <v>0</v>
      </c>
      <c r="H122">
        <v>30</v>
      </c>
      <c r="I122" s="183" t="s">
        <v>1017</v>
      </c>
      <c r="J122" s="183" t="s">
        <v>12060</v>
      </c>
      <c r="K122">
        <v>0</v>
      </c>
      <c r="L122">
        <v>30</v>
      </c>
    </row>
    <row r="123" spans="1:12">
      <c r="A123" s="183" t="s">
        <v>59</v>
      </c>
      <c r="B123" s="183" t="s">
        <v>60</v>
      </c>
      <c r="C123">
        <v>50201318</v>
      </c>
      <c r="D123">
        <v>46</v>
      </c>
      <c r="E123">
        <v>0</v>
      </c>
      <c r="F123">
        <v>0</v>
      </c>
      <c r="G123">
        <v>0</v>
      </c>
      <c r="H123">
        <v>46</v>
      </c>
      <c r="I123" s="183" t="s">
        <v>1017</v>
      </c>
      <c r="J123" s="183" t="s">
        <v>12054</v>
      </c>
      <c r="K123">
        <v>0</v>
      </c>
      <c r="L123">
        <v>46</v>
      </c>
    </row>
    <row r="124" spans="1:12">
      <c r="A124" s="183" t="s">
        <v>7078</v>
      </c>
      <c r="B124" s="183" t="s">
        <v>7079</v>
      </c>
      <c r="C124">
        <v>50201409</v>
      </c>
      <c r="D124">
        <v>42</v>
      </c>
      <c r="E124">
        <v>0</v>
      </c>
      <c r="F124">
        <v>0</v>
      </c>
      <c r="G124">
        <v>0</v>
      </c>
      <c r="H124">
        <v>42</v>
      </c>
      <c r="I124" s="183" t="s">
        <v>1017</v>
      </c>
      <c r="J124" s="183" t="s">
        <v>12057</v>
      </c>
      <c r="K124">
        <v>0</v>
      </c>
      <c r="L124">
        <v>42</v>
      </c>
    </row>
    <row r="125" spans="1:12">
      <c r="A125" s="183" t="s">
        <v>71</v>
      </c>
      <c r="B125" s="183" t="s">
        <v>1676</v>
      </c>
      <c r="C125">
        <v>50204418</v>
      </c>
      <c r="D125">
        <v>41</v>
      </c>
      <c r="E125">
        <v>0</v>
      </c>
      <c r="F125">
        <v>0</v>
      </c>
      <c r="G125">
        <v>0</v>
      </c>
      <c r="H125">
        <v>41</v>
      </c>
      <c r="I125" s="183" t="s">
        <v>1017</v>
      </c>
      <c r="J125" s="183" t="s">
        <v>12055</v>
      </c>
      <c r="K125">
        <v>0</v>
      </c>
      <c r="L125">
        <v>41</v>
      </c>
    </row>
    <row r="126" spans="1:12">
      <c r="A126" s="183" t="s">
        <v>78</v>
      </c>
      <c r="B126" s="183" t="s">
        <v>79</v>
      </c>
      <c r="C126">
        <v>50205418</v>
      </c>
      <c r="D126">
        <v>45</v>
      </c>
      <c r="E126">
        <v>0</v>
      </c>
      <c r="F126">
        <v>0</v>
      </c>
      <c r="G126">
        <v>0</v>
      </c>
      <c r="H126">
        <v>45</v>
      </c>
      <c r="I126" s="183" t="s">
        <v>1017</v>
      </c>
      <c r="J126" s="183" t="s">
        <v>12050</v>
      </c>
      <c r="K126">
        <v>0</v>
      </c>
      <c r="L126">
        <v>45</v>
      </c>
    </row>
    <row r="127" spans="1:12">
      <c r="A127" s="183" t="s">
        <v>3182</v>
      </c>
      <c r="B127" s="183" t="s">
        <v>3183</v>
      </c>
      <c r="C127">
        <v>50207218</v>
      </c>
      <c r="D127">
        <v>46</v>
      </c>
      <c r="E127">
        <v>0</v>
      </c>
      <c r="F127">
        <v>0</v>
      </c>
      <c r="G127">
        <v>0</v>
      </c>
      <c r="H127">
        <v>46</v>
      </c>
      <c r="I127" s="183" t="s">
        <v>1017</v>
      </c>
      <c r="J127" s="183" t="s">
        <v>12060</v>
      </c>
      <c r="K127">
        <v>0</v>
      </c>
      <c r="L127">
        <v>46</v>
      </c>
    </row>
    <row r="128" spans="1:12">
      <c r="A128" s="183" t="s">
        <v>7145</v>
      </c>
      <c r="B128" s="183" t="s">
        <v>7146</v>
      </c>
      <c r="C128">
        <v>50210509</v>
      </c>
      <c r="D128">
        <v>19</v>
      </c>
      <c r="E128">
        <v>0</v>
      </c>
      <c r="F128">
        <v>0</v>
      </c>
      <c r="G128">
        <v>0</v>
      </c>
      <c r="H128">
        <v>19</v>
      </c>
      <c r="I128" s="183" t="s">
        <v>1017</v>
      </c>
      <c r="J128" s="183" t="s">
        <v>12050</v>
      </c>
      <c r="K128">
        <v>0</v>
      </c>
      <c r="L128">
        <v>19</v>
      </c>
    </row>
    <row r="129" spans="1:12">
      <c r="A129" s="183" t="s">
        <v>3055</v>
      </c>
      <c r="B129" s="183" t="s">
        <v>3056</v>
      </c>
      <c r="C129">
        <v>50210518</v>
      </c>
      <c r="D129">
        <v>62</v>
      </c>
      <c r="E129">
        <v>0</v>
      </c>
      <c r="F129">
        <v>0</v>
      </c>
      <c r="G129">
        <v>0</v>
      </c>
      <c r="H129">
        <v>62</v>
      </c>
      <c r="I129" s="183" t="s">
        <v>1017</v>
      </c>
      <c r="J129" s="183" t="s">
        <v>12059</v>
      </c>
      <c r="K129">
        <v>0</v>
      </c>
      <c r="L129">
        <v>62</v>
      </c>
    </row>
    <row r="130" spans="1:12">
      <c r="A130" s="183" t="s">
        <v>110</v>
      </c>
      <c r="B130" s="183" t="s">
        <v>111</v>
      </c>
      <c r="C130">
        <v>50213518</v>
      </c>
      <c r="D130">
        <v>49</v>
      </c>
      <c r="E130">
        <v>0</v>
      </c>
      <c r="F130">
        <v>0</v>
      </c>
      <c r="G130">
        <v>0</v>
      </c>
      <c r="H130">
        <v>49</v>
      </c>
      <c r="I130" s="183" t="s">
        <v>1017</v>
      </c>
      <c r="J130" s="183" t="s">
        <v>12050</v>
      </c>
      <c r="K130">
        <v>0</v>
      </c>
      <c r="L130">
        <v>49</v>
      </c>
    </row>
    <row r="131" spans="1:12">
      <c r="A131" s="183" t="s">
        <v>7278</v>
      </c>
      <c r="B131" s="183" t="s">
        <v>7279</v>
      </c>
      <c r="C131">
        <v>50214409</v>
      </c>
      <c r="D131">
        <v>14</v>
      </c>
      <c r="E131">
        <v>0</v>
      </c>
      <c r="F131">
        <v>0</v>
      </c>
      <c r="G131">
        <v>0</v>
      </c>
      <c r="H131">
        <v>14</v>
      </c>
      <c r="I131" s="183" t="s">
        <v>1017</v>
      </c>
      <c r="J131" s="183" t="s">
        <v>12056</v>
      </c>
      <c r="K131">
        <v>0</v>
      </c>
      <c r="L131">
        <v>14</v>
      </c>
    </row>
    <row r="132" spans="1:12">
      <c r="A132" s="183" t="s">
        <v>7185</v>
      </c>
      <c r="B132" s="183" t="s">
        <v>7186</v>
      </c>
      <c r="C132">
        <v>50214509</v>
      </c>
      <c r="D132">
        <v>29</v>
      </c>
      <c r="E132">
        <v>0</v>
      </c>
      <c r="F132">
        <v>0</v>
      </c>
      <c r="G132">
        <v>0</v>
      </c>
      <c r="H132">
        <v>29</v>
      </c>
      <c r="I132" s="183" t="s">
        <v>1017</v>
      </c>
      <c r="J132" s="183" t="s">
        <v>12054</v>
      </c>
      <c r="K132">
        <v>0</v>
      </c>
      <c r="L132">
        <v>29</v>
      </c>
    </row>
    <row r="133" spans="1:12">
      <c r="A133" s="183" t="s">
        <v>6942</v>
      </c>
      <c r="B133" s="183" t="s">
        <v>6943</v>
      </c>
      <c r="C133">
        <v>50216109</v>
      </c>
      <c r="D133">
        <v>74</v>
      </c>
      <c r="E133">
        <v>0</v>
      </c>
      <c r="F133">
        <v>0</v>
      </c>
      <c r="G133">
        <v>0</v>
      </c>
      <c r="H133">
        <v>74</v>
      </c>
      <c r="I133" s="183" t="s">
        <v>1017</v>
      </c>
      <c r="J133" s="183" t="s">
        <v>12055</v>
      </c>
      <c r="K133">
        <v>0</v>
      </c>
      <c r="L133">
        <v>74</v>
      </c>
    </row>
    <row r="134" spans="1:12">
      <c r="A134" s="183" t="s">
        <v>6049</v>
      </c>
      <c r="B134" s="183" t="s">
        <v>6050</v>
      </c>
      <c r="C134">
        <v>50216118</v>
      </c>
      <c r="D134">
        <v>14</v>
      </c>
      <c r="E134">
        <v>0</v>
      </c>
      <c r="F134">
        <v>0</v>
      </c>
      <c r="G134">
        <v>0</v>
      </c>
      <c r="H134">
        <v>14</v>
      </c>
      <c r="I134" s="183" t="s">
        <v>1017</v>
      </c>
      <c r="J134" s="183" t="s">
        <v>12063</v>
      </c>
      <c r="K134">
        <v>0</v>
      </c>
      <c r="L134">
        <v>14</v>
      </c>
    </row>
    <row r="135" spans="1:12">
      <c r="A135" s="183" t="s">
        <v>5016</v>
      </c>
      <c r="B135" s="183" t="s">
        <v>5017</v>
      </c>
      <c r="C135">
        <v>50217318</v>
      </c>
      <c r="D135">
        <v>52</v>
      </c>
      <c r="E135">
        <v>0</v>
      </c>
      <c r="F135">
        <v>0</v>
      </c>
      <c r="G135">
        <v>0</v>
      </c>
      <c r="H135">
        <v>52</v>
      </c>
      <c r="I135" s="183" t="s">
        <v>1017</v>
      </c>
      <c r="J135" s="183" t="s">
        <v>12061</v>
      </c>
      <c r="K135">
        <v>0</v>
      </c>
      <c r="L135">
        <v>52</v>
      </c>
    </row>
    <row r="136" spans="1:12">
      <c r="A136" s="183" t="s">
        <v>7108</v>
      </c>
      <c r="B136" s="183" t="s">
        <v>7109</v>
      </c>
      <c r="C136">
        <v>50218309</v>
      </c>
      <c r="D136">
        <v>45</v>
      </c>
      <c r="E136">
        <v>0</v>
      </c>
      <c r="F136">
        <v>0</v>
      </c>
      <c r="G136">
        <v>0</v>
      </c>
      <c r="H136">
        <v>45</v>
      </c>
      <c r="I136" s="183" t="s">
        <v>1017</v>
      </c>
      <c r="J136" s="183" t="s">
        <v>12061</v>
      </c>
      <c r="K136">
        <v>0</v>
      </c>
      <c r="L136">
        <v>45</v>
      </c>
    </row>
    <row r="137" spans="1:12">
      <c r="A137" s="183" t="s">
        <v>3139</v>
      </c>
      <c r="B137" s="183" t="s">
        <v>3140</v>
      </c>
      <c r="C137">
        <v>50219518</v>
      </c>
      <c r="D137">
        <v>3</v>
      </c>
      <c r="E137">
        <v>0</v>
      </c>
      <c r="F137">
        <v>0</v>
      </c>
      <c r="G137">
        <v>0</v>
      </c>
      <c r="H137">
        <v>3</v>
      </c>
      <c r="I137" s="183" t="s">
        <v>1017</v>
      </c>
      <c r="J137" s="183" t="s">
        <v>12058</v>
      </c>
      <c r="K137">
        <v>0</v>
      </c>
      <c r="L137">
        <v>3</v>
      </c>
    </row>
    <row r="138" spans="1:12">
      <c r="A138" s="183" t="s">
        <v>3750</v>
      </c>
      <c r="B138" s="183" t="s">
        <v>3751</v>
      </c>
      <c r="C138">
        <v>50222118</v>
      </c>
      <c r="D138">
        <v>22</v>
      </c>
      <c r="E138">
        <v>0</v>
      </c>
      <c r="F138">
        <v>0</v>
      </c>
      <c r="G138">
        <v>0</v>
      </c>
      <c r="H138">
        <v>22</v>
      </c>
      <c r="I138" s="183" t="s">
        <v>1017</v>
      </c>
      <c r="J138" s="183" t="s">
        <v>12059</v>
      </c>
      <c r="K138">
        <v>0</v>
      </c>
      <c r="L138">
        <v>22</v>
      </c>
    </row>
    <row r="139" spans="1:12">
      <c r="A139" s="183" t="s">
        <v>7187</v>
      </c>
      <c r="B139" s="183" t="s">
        <v>7188</v>
      </c>
      <c r="C139">
        <v>50223509</v>
      </c>
      <c r="D139">
        <v>28</v>
      </c>
      <c r="E139">
        <v>0</v>
      </c>
      <c r="F139">
        <v>0</v>
      </c>
      <c r="G139">
        <v>0</v>
      </c>
      <c r="H139">
        <v>28</v>
      </c>
      <c r="I139" s="183" t="s">
        <v>1017</v>
      </c>
      <c r="J139" s="183" t="s">
        <v>12054</v>
      </c>
      <c r="K139">
        <v>0</v>
      </c>
      <c r="L139">
        <v>28</v>
      </c>
    </row>
    <row r="140" spans="1:12">
      <c r="A140" s="183" t="s">
        <v>7268</v>
      </c>
      <c r="B140" s="183" t="s">
        <v>7269</v>
      </c>
      <c r="C140" t="s">
        <v>12072</v>
      </c>
      <c r="D140" s="501">
        <v>1000</v>
      </c>
      <c r="E140">
        <v>0</v>
      </c>
      <c r="F140">
        <v>0</v>
      </c>
      <c r="G140">
        <v>0</v>
      </c>
      <c r="H140" s="501">
        <v>1000</v>
      </c>
      <c r="I140" s="183" t="s">
        <v>1324</v>
      </c>
      <c r="J140" s="183" t="s">
        <v>12066</v>
      </c>
      <c r="K140">
        <v>0</v>
      </c>
      <c r="L140" s="501">
        <v>1000</v>
      </c>
    </row>
    <row r="141" spans="1:12">
      <c r="A141" s="183" t="s">
        <v>7199</v>
      </c>
      <c r="B141" s="183" t="s">
        <v>7200</v>
      </c>
      <c r="C141" t="s">
        <v>12073</v>
      </c>
      <c r="D141" s="501">
        <v>1150</v>
      </c>
      <c r="E141">
        <v>0</v>
      </c>
      <c r="F141">
        <v>0</v>
      </c>
      <c r="G141">
        <v>0</v>
      </c>
      <c r="H141" s="501">
        <v>1150</v>
      </c>
      <c r="I141" s="183" t="s">
        <v>1324</v>
      </c>
      <c r="J141" s="183" t="s">
        <v>12066</v>
      </c>
      <c r="K141">
        <v>0</v>
      </c>
      <c r="L141" s="501">
        <v>1150</v>
      </c>
    </row>
    <row r="142" spans="1:12">
      <c r="A142" s="183" t="s">
        <v>8771</v>
      </c>
      <c r="B142" s="183" t="s">
        <v>8772</v>
      </c>
      <c r="C142" t="s">
        <v>12074</v>
      </c>
      <c r="D142">
        <v>988</v>
      </c>
      <c r="E142">
        <v>0</v>
      </c>
      <c r="F142">
        <v>0</v>
      </c>
      <c r="G142">
        <v>0</v>
      </c>
      <c r="H142">
        <v>988</v>
      </c>
      <c r="I142" s="183" t="s">
        <v>1324</v>
      </c>
      <c r="J142" s="183" t="s">
        <v>12057</v>
      </c>
      <c r="K142">
        <v>0</v>
      </c>
      <c r="L142">
        <v>988</v>
      </c>
    </row>
    <row r="143" spans="1:12">
      <c r="A143" s="183" t="s">
        <v>23</v>
      </c>
      <c r="B143" s="183" t="s">
        <v>24</v>
      </c>
      <c r="C143">
        <v>16870206</v>
      </c>
      <c r="D143">
        <v>3</v>
      </c>
      <c r="E143">
        <v>0</v>
      </c>
      <c r="F143">
        <v>4</v>
      </c>
      <c r="G143">
        <v>0</v>
      </c>
      <c r="H143">
        <v>7</v>
      </c>
      <c r="I143" s="183" t="s">
        <v>1110</v>
      </c>
      <c r="J143" s="183" t="s">
        <v>12060</v>
      </c>
      <c r="K143">
        <v>0</v>
      </c>
      <c r="L143">
        <v>3</v>
      </c>
    </row>
    <row r="144" spans="1:12">
      <c r="A144" s="183" t="s">
        <v>7619</v>
      </c>
      <c r="B144" s="183" t="s">
        <v>7620</v>
      </c>
      <c r="C144">
        <v>16870218</v>
      </c>
      <c r="D144">
        <v>40</v>
      </c>
      <c r="E144">
        <v>0</v>
      </c>
      <c r="F144">
        <v>0</v>
      </c>
      <c r="G144">
        <v>0</v>
      </c>
      <c r="H144">
        <v>40</v>
      </c>
      <c r="I144" s="183" t="s">
        <v>1110</v>
      </c>
      <c r="J144" s="183" t="s">
        <v>12054</v>
      </c>
      <c r="K144">
        <v>0</v>
      </c>
      <c r="L144">
        <v>40</v>
      </c>
    </row>
    <row r="145" spans="1:12">
      <c r="A145" s="183" t="s">
        <v>3523</v>
      </c>
      <c r="B145" s="183" t="s">
        <v>3524</v>
      </c>
      <c r="C145">
        <v>16870223</v>
      </c>
      <c r="D145">
        <v>4</v>
      </c>
      <c r="E145">
        <v>0</v>
      </c>
      <c r="F145">
        <v>0</v>
      </c>
      <c r="G145">
        <v>0</v>
      </c>
      <c r="H145">
        <v>4</v>
      </c>
      <c r="I145" s="183" t="s">
        <v>1110</v>
      </c>
      <c r="J145" s="183" t="s">
        <v>12054</v>
      </c>
      <c r="K145">
        <v>0</v>
      </c>
      <c r="L145">
        <v>4</v>
      </c>
    </row>
    <row r="146" spans="1:12">
      <c r="A146" s="183" t="s">
        <v>7657</v>
      </c>
      <c r="B146" s="183" t="s">
        <v>7658</v>
      </c>
      <c r="C146">
        <v>16870226</v>
      </c>
      <c r="D146">
        <v>2</v>
      </c>
      <c r="E146">
        <v>0</v>
      </c>
      <c r="F146">
        <v>0</v>
      </c>
      <c r="G146">
        <v>0</v>
      </c>
      <c r="H146">
        <v>2</v>
      </c>
      <c r="I146" s="183" t="s">
        <v>1110</v>
      </c>
      <c r="J146" s="183" t="s">
        <v>12058</v>
      </c>
      <c r="K146">
        <v>0</v>
      </c>
      <c r="L146">
        <v>2</v>
      </c>
    </row>
    <row r="147" spans="1:12">
      <c r="A147" s="183" t="s">
        <v>6798</v>
      </c>
      <c r="B147" s="183" t="s">
        <v>6799</v>
      </c>
      <c r="C147">
        <v>10850198</v>
      </c>
      <c r="D147">
        <v>107</v>
      </c>
      <c r="E147">
        <v>0</v>
      </c>
      <c r="F147">
        <v>0</v>
      </c>
      <c r="G147">
        <v>0</v>
      </c>
      <c r="H147">
        <v>107</v>
      </c>
      <c r="I147" s="183" t="s">
        <v>6632</v>
      </c>
      <c r="J147" s="183" t="s">
        <v>12050</v>
      </c>
      <c r="K147">
        <v>0</v>
      </c>
      <c r="L147">
        <v>107</v>
      </c>
    </row>
    <row r="148" spans="1:12">
      <c r="A148" s="183" t="s">
        <v>6649</v>
      </c>
      <c r="B148" s="183" t="s">
        <v>6650</v>
      </c>
      <c r="C148">
        <v>10850196</v>
      </c>
      <c r="D148">
        <v>38</v>
      </c>
      <c r="E148">
        <v>0</v>
      </c>
      <c r="F148">
        <v>0</v>
      </c>
      <c r="G148">
        <v>0</v>
      </c>
      <c r="H148">
        <v>38</v>
      </c>
      <c r="I148" s="183" t="s">
        <v>6632</v>
      </c>
      <c r="J148" s="183" t="s">
        <v>12061</v>
      </c>
      <c r="K148">
        <v>0</v>
      </c>
      <c r="L148">
        <v>38</v>
      </c>
    </row>
    <row r="149" spans="1:12">
      <c r="A149" s="183" t="s">
        <v>6669</v>
      </c>
      <c r="B149" s="183" t="s">
        <v>6670</v>
      </c>
      <c r="C149">
        <v>10850187</v>
      </c>
      <c r="D149">
        <v>45</v>
      </c>
      <c r="E149">
        <v>0</v>
      </c>
      <c r="F149">
        <v>0</v>
      </c>
      <c r="G149">
        <v>0</v>
      </c>
      <c r="H149">
        <v>45</v>
      </c>
      <c r="I149" s="183" t="s">
        <v>6632</v>
      </c>
      <c r="J149" s="183" t="s">
        <v>12060</v>
      </c>
      <c r="K149">
        <v>0</v>
      </c>
      <c r="L149">
        <v>45</v>
      </c>
    </row>
    <row r="150" spans="1:12">
      <c r="A150" s="183" t="s">
        <v>6687</v>
      </c>
      <c r="B150" s="183" t="s">
        <v>6688</v>
      </c>
      <c r="C150">
        <v>10850183</v>
      </c>
      <c r="D150">
        <v>77</v>
      </c>
      <c r="E150">
        <v>0</v>
      </c>
      <c r="F150">
        <v>0</v>
      </c>
      <c r="G150">
        <v>0</v>
      </c>
      <c r="H150">
        <v>77</v>
      </c>
      <c r="I150" s="183" t="s">
        <v>6632</v>
      </c>
      <c r="J150" s="183" t="s">
        <v>12057</v>
      </c>
      <c r="K150">
        <v>0</v>
      </c>
      <c r="L150">
        <v>77</v>
      </c>
    </row>
    <row r="151" spans="1:12">
      <c r="A151" s="183" t="s">
        <v>6671</v>
      </c>
      <c r="B151" s="183" t="s">
        <v>6672</v>
      </c>
      <c r="C151">
        <v>10850176</v>
      </c>
      <c r="D151">
        <v>75</v>
      </c>
      <c r="E151">
        <v>0</v>
      </c>
      <c r="F151">
        <v>0</v>
      </c>
      <c r="G151">
        <v>0</v>
      </c>
      <c r="H151">
        <v>75</v>
      </c>
      <c r="I151" s="183" t="s">
        <v>6632</v>
      </c>
      <c r="J151" s="183" t="s">
        <v>12057</v>
      </c>
      <c r="K151">
        <v>0</v>
      </c>
      <c r="L151">
        <v>75</v>
      </c>
    </row>
    <row r="152" spans="1:12">
      <c r="A152" s="183" t="s">
        <v>6707</v>
      </c>
      <c r="B152" s="183" t="s">
        <v>6708</v>
      </c>
      <c r="C152">
        <v>10850174</v>
      </c>
      <c r="D152">
        <v>103</v>
      </c>
      <c r="E152">
        <v>0</v>
      </c>
      <c r="F152">
        <v>0</v>
      </c>
      <c r="G152">
        <v>0</v>
      </c>
      <c r="H152">
        <v>103</v>
      </c>
      <c r="I152" s="183" t="s">
        <v>6632</v>
      </c>
      <c r="J152" s="183" t="s">
        <v>12059</v>
      </c>
      <c r="K152">
        <v>0</v>
      </c>
      <c r="L152">
        <v>103</v>
      </c>
    </row>
    <row r="153" spans="1:12">
      <c r="A153" s="183" t="s">
        <v>6808</v>
      </c>
      <c r="B153" s="183" t="s">
        <v>6809</v>
      </c>
      <c r="C153">
        <v>10850144</v>
      </c>
      <c r="D153">
        <v>130</v>
      </c>
      <c r="E153">
        <v>0</v>
      </c>
      <c r="F153">
        <v>0</v>
      </c>
      <c r="G153">
        <v>0</v>
      </c>
      <c r="H153">
        <v>130</v>
      </c>
      <c r="I153" s="183" t="s">
        <v>6632</v>
      </c>
      <c r="J153" s="183" t="s">
        <v>12056</v>
      </c>
      <c r="K153">
        <v>0</v>
      </c>
      <c r="L153">
        <v>130</v>
      </c>
    </row>
    <row r="154" spans="1:12">
      <c r="A154" s="183" t="s">
        <v>6742</v>
      </c>
      <c r="B154" s="183" t="s">
        <v>6743</v>
      </c>
      <c r="C154">
        <v>10850204</v>
      </c>
      <c r="D154">
        <v>130</v>
      </c>
      <c r="E154">
        <v>0</v>
      </c>
      <c r="F154">
        <v>0</v>
      </c>
      <c r="G154">
        <v>0</v>
      </c>
      <c r="H154">
        <v>130</v>
      </c>
      <c r="I154" s="183" t="s">
        <v>6632</v>
      </c>
      <c r="J154" s="183" t="s">
        <v>12053</v>
      </c>
      <c r="K154">
        <v>0</v>
      </c>
      <c r="L154">
        <v>130</v>
      </c>
    </row>
    <row r="155" spans="1:12">
      <c r="A155" s="183" t="s">
        <v>8892</v>
      </c>
      <c r="B155" s="183" t="s">
        <v>8893</v>
      </c>
      <c r="C155">
        <v>10850214</v>
      </c>
      <c r="D155">
        <v>16</v>
      </c>
      <c r="E155">
        <v>0</v>
      </c>
      <c r="F155">
        <v>0</v>
      </c>
      <c r="G155">
        <v>0</v>
      </c>
      <c r="H155">
        <v>16</v>
      </c>
      <c r="I155" s="183" t="s">
        <v>6632</v>
      </c>
      <c r="J155" s="183" t="s">
        <v>12057</v>
      </c>
      <c r="K155">
        <v>0</v>
      </c>
      <c r="L155">
        <v>16</v>
      </c>
    </row>
    <row r="156" spans="1:12">
      <c r="A156" s="183" t="s">
        <v>8894</v>
      </c>
      <c r="B156" s="183" t="s">
        <v>8895</v>
      </c>
      <c r="C156">
        <v>10850215</v>
      </c>
      <c r="D156">
        <v>12</v>
      </c>
      <c r="E156">
        <v>0</v>
      </c>
      <c r="F156">
        <v>0</v>
      </c>
      <c r="G156">
        <v>0</v>
      </c>
      <c r="H156">
        <v>12</v>
      </c>
      <c r="I156" s="183" t="s">
        <v>6632</v>
      </c>
      <c r="J156" s="183" t="s">
        <v>12067</v>
      </c>
      <c r="K156">
        <v>0</v>
      </c>
      <c r="L156">
        <v>12</v>
      </c>
    </row>
    <row r="157" spans="1:12">
      <c r="A157" s="183" t="s">
        <v>6723</v>
      </c>
      <c r="B157" s="183" t="s">
        <v>6724</v>
      </c>
      <c r="C157">
        <v>10850228</v>
      </c>
      <c r="D157">
        <v>4</v>
      </c>
      <c r="E157">
        <v>0</v>
      </c>
      <c r="F157">
        <v>0</v>
      </c>
      <c r="G157">
        <v>0</v>
      </c>
      <c r="H157">
        <v>4</v>
      </c>
      <c r="I157" s="183" t="s">
        <v>6632</v>
      </c>
      <c r="J157" s="183" t="s">
        <v>12060</v>
      </c>
      <c r="K157">
        <v>0</v>
      </c>
      <c r="L157">
        <v>4</v>
      </c>
    </row>
    <row r="158" spans="1:12">
      <c r="A158" s="183" t="s">
        <v>8896</v>
      </c>
      <c r="B158" s="183" t="s">
        <v>8897</v>
      </c>
      <c r="C158">
        <v>10870211</v>
      </c>
      <c r="D158">
        <v>44</v>
      </c>
      <c r="E158">
        <v>0</v>
      </c>
      <c r="F158">
        <v>0</v>
      </c>
      <c r="G158">
        <v>0</v>
      </c>
      <c r="H158">
        <v>44</v>
      </c>
      <c r="I158" s="183" t="s">
        <v>7602</v>
      </c>
      <c r="J158" s="183" t="s">
        <v>12058</v>
      </c>
      <c r="K158">
        <v>0</v>
      </c>
      <c r="L158">
        <v>44</v>
      </c>
    </row>
    <row r="159" spans="1:12">
      <c r="A159" s="183" t="s">
        <v>7633</v>
      </c>
      <c r="B159" s="183" t="s">
        <v>7634</v>
      </c>
      <c r="C159">
        <v>10870213</v>
      </c>
      <c r="D159">
        <v>8</v>
      </c>
      <c r="E159">
        <v>0</v>
      </c>
      <c r="F159">
        <v>0</v>
      </c>
      <c r="G159">
        <v>0</v>
      </c>
      <c r="H159">
        <v>8</v>
      </c>
      <c r="I159" s="183" t="s">
        <v>7602</v>
      </c>
      <c r="J159" s="183" t="s">
        <v>12057</v>
      </c>
      <c r="K159">
        <v>0</v>
      </c>
      <c r="L159">
        <v>8</v>
      </c>
    </row>
    <row r="160" spans="1:12">
      <c r="A160" s="183" t="s">
        <v>7643</v>
      </c>
      <c r="B160" s="183" t="s">
        <v>7644</v>
      </c>
      <c r="C160">
        <v>10870221</v>
      </c>
      <c r="D160">
        <v>42</v>
      </c>
      <c r="E160">
        <v>0</v>
      </c>
      <c r="F160">
        <v>0</v>
      </c>
      <c r="G160">
        <v>0</v>
      </c>
      <c r="H160">
        <v>42</v>
      </c>
      <c r="I160" s="183" t="s">
        <v>7602</v>
      </c>
      <c r="J160" s="183" t="s">
        <v>12057</v>
      </c>
      <c r="K160">
        <v>0</v>
      </c>
      <c r="L160">
        <v>42</v>
      </c>
    </row>
    <row r="161" spans="1:12">
      <c r="A161" s="183" t="s">
        <v>8898</v>
      </c>
      <c r="B161" s="183" t="s">
        <v>8899</v>
      </c>
      <c r="C161">
        <v>10870226</v>
      </c>
      <c r="D161">
        <v>44</v>
      </c>
      <c r="E161">
        <v>0</v>
      </c>
      <c r="F161">
        <v>0</v>
      </c>
      <c r="G161">
        <v>0</v>
      </c>
      <c r="H161">
        <v>44</v>
      </c>
      <c r="I161" s="183" t="s">
        <v>7602</v>
      </c>
      <c r="J161" s="183" t="s">
        <v>12060</v>
      </c>
      <c r="K161">
        <v>0</v>
      </c>
      <c r="L161">
        <v>44</v>
      </c>
    </row>
    <row r="162" spans="1:12">
      <c r="A162" s="183" t="s">
        <v>7635</v>
      </c>
      <c r="B162" s="183" t="s">
        <v>7636</v>
      </c>
      <c r="C162">
        <v>10870236</v>
      </c>
      <c r="D162">
        <v>39</v>
      </c>
      <c r="E162">
        <v>0</v>
      </c>
      <c r="F162">
        <v>0</v>
      </c>
      <c r="G162">
        <v>0</v>
      </c>
      <c r="H162">
        <v>39</v>
      </c>
      <c r="I162" s="183" t="s">
        <v>7602</v>
      </c>
      <c r="J162" s="183" t="s">
        <v>12056</v>
      </c>
      <c r="K162">
        <v>0</v>
      </c>
      <c r="L162">
        <v>39</v>
      </c>
    </row>
    <row r="163" spans="1:12">
      <c r="A163" s="183" t="s">
        <v>7473</v>
      </c>
      <c r="B163" s="183" t="s">
        <v>7474</v>
      </c>
      <c r="C163">
        <v>10890212</v>
      </c>
      <c r="D163">
        <v>42</v>
      </c>
      <c r="E163">
        <v>0</v>
      </c>
      <c r="F163">
        <v>0</v>
      </c>
      <c r="G163">
        <v>0</v>
      </c>
      <c r="H163">
        <v>42</v>
      </c>
      <c r="I163" s="183" t="s">
        <v>7423</v>
      </c>
      <c r="J163" s="183" t="s">
        <v>12054</v>
      </c>
      <c r="K163">
        <v>0</v>
      </c>
      <c r="L163">
        <v>42</v>
      </c>
    </row>
    <row r="164" spans="1:12">
      <c r="A164" s="183" t="s">
        <v>7424</v>
      </c>
      <c r="B164" s="183" t="s">
        <v>7425</v>
      </c>
      <c r="C164">
        <v>10890223</v>
      </c>
      <c r="D164">
        <v>37</v>
      </c>
      <c r="E164">
        <v>0</v>
      </c>
      <c r="F164">
        <v>0</v>
      </c>
      <c r="G164">
        <v>0</v>
      </c>
      <c r="H164">
        <v>37</v>
      </c>
      <c r="I164" s="183" t="s">
        <v>7423</v>
      </c>
      <c r="J164" s="183" t="s">
        <v>12061</v>
      </c>
      <c r="K164">
        <v>0</v>
      </c>
      <c r="L164">
        <v>37</v>
      </c>
    </row>
    <row r="165" spans="1:12">
      <c r="A165" s="183" t="s">
        <v>45</v>
      </c>
      <c r="B165" s="183" t="s">
        <v>46</v>
      </c>
      <c r="C165">
        <v>11870238</v>
      </c>
      <c r="D165">
        <v>88</v>
      </c>
      <c r="E165">
        <v>0</v>
      </c>
      <c r="F165">
        <v>0</v>
      </c>
      <c r="G165">
        <v>0</v>
      </c>
      <c r="H165">
        <v>88</v>
      </c>
      <c r="I165" s="183" t="s">
        <v>1132</v>
      </c>
      <c r="J165" s="183" t="s">
        <v>12061</v>
      </c>
      <c r="K165">
        <v>0</v>
      </c>
      <c r="L165">
        <v>88</v>
      </c>
    </row>
    <row r="166" spans="1:12">
      <c r="A166" s="183" t="s">
        <v>49</v>
      </c>
      <c r="B166" s="183" t="s">
        <v>50</v>
      </c>
      <c r="C166">
        <v>50200218</v>
      </c>
      <c r="D166">
        <v>44</v>
      </c>
      <c r="E166">
        <v>0</v>
      </c>
      <c r="F166">
        <v>8</v>
      </c>
      <c r="G166">
        <v>0</v>
      </c>
      <c r="H166">
        <v>52</v>
      </c>
      <c r="I166" s="183" t="s">
        <v>1017</v>
      </c>
      <c r="J166" s="183" t="s">
        <v>12056</v>
      </c>
      <c r="K166">
        <v>0</v>
      </c>
      <c r="L166">
        <v>44</v>
      </c>
    </row>
    <row r="167" spans="1:12">
      <c r="A167" s="183" t="s">
        <v>6950</v>
      </c>
      <c r="B167" s="183" t="s">
        <v>6951</v>
      </c>
      <c r="C167">
        <v>50201109</v>
      </c>
      <c r="D167">
        <v>68</v>
      </c>
      <c r="E167">
        <v>0</v>
      </c>
      <c r="F167">
        <v>0</v>
      </c>
      <c r="G167">
        <v>0</v>
      </c>
      <c r="H167">
        <v>68</v>
      </c>
      <c r="I167" s="183" t="s">
        <v>1017</v>
      </c>
      <c r="J167" s="183" t="s">
        <v>12056</v>
      </c>
      <c r="K167">
        <v>0</v>
      </c>
      <c r="L167">
        <v>68</v>
      </c>
    </row>
    <row r="168" spans="1:12">
      <c r="A168" s="183" t="s">
        <v>1337</v>
      </c>
      <c r="B168" s="183" t="s">
        <v>1338</v>
      </c>
      <c r="C168">
        <v>50202109</v>
      </c>
      <c r="D168">
        <v>92</v>
      </c>
      <c r="E168">
        <v>0</v>
      </c>
      <c r="F168">
        <v>0</v>
      </c>
      <c r="G168">
        <v>0</v>
      </c>
      <c r="H168">
        <v>92</v>
      </c>
      <c r="I168" s="183" t="s">
        <v>1017</v>
      </c>
      <c r="J168" s="183" t="s">
        <v>12060</v>
      </c>
      <c r="K168">
        <v>0</v>
      </c>
      <c r="L168">
        <v>92</v>
      </c>
    </row>
    <row r="169" spans="1:12">
      <c r="A169" s="183" t="s">
        <v>6976</v>
      </c>
      <c r="B169" s="183" t="s">
        <v>6977</v>
      </c>
      <c r="C169">
        <v>50202118</v>
      </c>
      <c r="D169">
        <v>42</v>
      </c>
      <c r="E169">
        <v>0</v>
      </c>
      <c r="F169">
        <v>0</v>
      </c>
      <c r="G169">
        <v>0</v>
      </c>
      <c r="H169">
        <v>42</v>
      </c>
      <c r="I169" s="183" t="s">
        <v>1017</v>
      </c>
      <c r="J169" s="183" t="s">
        <v>12061</v>
      </c>
      <c r="K169">
        <v>0</v>
      </c>
      <c r="L169">
        <v>42</v>
      </c>
    </row>
    <row r="170" spans="1:12">
      <c r="A170" s="183" t="s">
        <v>65</v>
      </c>
      <c r="B170" s="183" t="s">
        <v>66</v>
      </c>
      <c r="C170">
        <v>50202518</v>
      </c>
      <c r="D170">
        <v>42</v>
      </c>
      <c r="E170">
        <v>0</v>
      </c>
      <c r="F170">
        <v>0</v>
      </c>
      <c r="G170">
        <v>0</v>
      </c>
      <c r="H170">
        <v>42</v>
      </c>
      <c r="I170" s="183" t="s">
        <v>1017</v>
      </c>
      <c r="J170" s="183" t="s">
        <v>12056</v>
      </c>
      <c r="K170">
        <v>0</v>
      </c>
      <c r="L170">
        <v>42</v>
      </c>
    </row>
    <row r="171" spans="1:12">
      <c r="A171" s="183" t="s">
        <v>7104</v>
      </c>
      <c r="B171" s="183" t="s">
        <v>7105</v>
      </c>
      <c r="C171">
        <v>50203318</v>
      </c>
      <c r="D171">
        <v>64</v>
      </c>
      <c r="E171">
        <v>0</v>
      </c>
      <c r="F171">
        <v>0</v>
      </c>
      <c r="G171">
        <v>0</v>
      </c>
      <c r="H171">
        <v>64</v>
      </c>
      <c r="I171" s="183" t="s">
        <v>1017</v>
      </c>
      <c r="J171" s="183" t="s">
        <v>12060</v>
      </c>
      <c r="K171">
        <v>0</v>
      </c>
      <c r="L171">
        <v>64</v>
      </c>
    </row>
    <row r="172" spans="1:12">
      <c r="A172" s="183" t="s">
        <v>8541</v>
      </c>
      <c r="B172" s="183" t="s">
        <v>8542</v>
      </c>
      <c r="C172">
        <v>50203418</v>
      </c>
      <c r="D172">
        <v>46</v>
      </c>
      <c r="E172">
        <v>0</v>
      </c>
      <c r="F172">
        <v>0</v>
      </c>
      <c r="G172">
        <v>0</v>
      </c>
      <c r="H172">
        <v>46</v>
      </c>
      <c r="I172" s="183" t="s">
        <v>1017</v>
      </c>
      <c r="J172" s="183" t="s">
        <v>12056</v>
      </c>
      <c r="K172">
        <v>0</v>
      </c>
      <c r="L172">
        <v>46</v>
      </c>
    </row>
    <row r="173" spans="1:12">
      <c r="A173" s="183" t="s">
        <v>3180</v>
      </c>
      <c r="B173" s="183" t="s">
        <v>3181</v>
      </c>
      <c r="C173">
        <v>50204218</v>
      </c>
      <c r="D173">
        <v>71</v>
      </c>
      <c r="E173">
        <v>0</v>
      </c>
      <c r="F173">
        <v>0</v>
      </c>
      <c r="G173">
        <v>0</v>
      </c>
      <c r="H173">
        <v>71</v>
      </c>
      <c r="I173" s="183" t="s">
        <v>1017</v>
      </c>
      <c r="J173" s="183" t="s">
        <v>12052</v>
      </c>
      <c r="K173">
        <v>0</v>
      </c>
      <c r="L173">
        <v>71</v>
      </c>
    </row>
    <row r="174" spans="1:12">
      <c r="A174" s="183" t="s">
        <v>7124</v>
      </c>
      <c r="B174" s="183" t="s">
        <v>7125</v>
      </c>
      <c r="C174">
        <v>50205409</v>
      </c>
      <c r="D174">
        <v>37</v>
      </c>
      <c r="E174">
        <v>0</v>
      </c>
      <c r="F174">
        <v>0</v>
      </c>
      <c r="G174">
        <v>0</v>
      </c>
      <c r="H174">
        <v>37</v>
      </c>
      <c r="I174" s="183" t="s">
        <v>1017</v>
      </c>
      <c r="J174" s="183" t="s">
        <v>12056</v>
      </c>
      <c r="K174">
        <v>0</v>
      </c>
      <c r="L174">
        <v>37</v>
      </c>
    </row>
    <row r="175" spans="1:12">
      <c r="A175" s="183" t="s">
        <v>86</v>
      </c>
      <c r="B175" s="183" t="s">
        <v>87</v>
      </c>
      <c r="C175">
        <v>50207118</v>
      </c>
      <c r="D175">
        <v>43</v>
      </c>
      <c r="E175">
        <v>0</v>
      </c>
      <c r="F175">
        <v>0</v>
      </c>
      <c r="G175">
        <v>0</v>
      </c>
      <c r="H175">
        <v>43</v>
      </c>
      <c r="I175" s="183" t="s">
        <v>1017</v>
      </c>
      <c r="J175" s="183" t="s">
        <v>12050</v>
      </c>
      <c r="K175">
        <v>0</v>
      </c>
      <c r="L175">
        <v>43</v>
      </c>
    </row>
    <row r="176" spans="1:12">
      <c r="A176" s="183" t="s">
        <v>7114</v>
      </c>
      <c r="B176" s="183" t="s">
        <v>7115</v>
      </c>
      <c r="C176">
        <v>50207209</v>
      </c>
      <c r="D176">
        <v>16</v>
      </c>
      <c r="E176">
        <v>0</v>
      </c>
      <c r="F176">
        <v>0</v>
      </c>
      <c r="G176">
        <v>0</v>
      </c>
      <c r="H176">
        <v>16</v>
      </c>
      <c r="I176" s="183" t="s">
        <v>1017</v>
      </c>
      <c r="J176" s="183" t="s">
        <v>12060</v>
      </c>
      <c r="K176">
        <v>0</v>
      </c>
      <c r="L176">
        <v>16</v>
      </c>
    </row>
    <row r="177" spans="1:12">
      <c r="A177" s="183" t="s">
        <v>90</v>
      </c>
      <c r="B177" s="183" t="s">
        <v>91</v>
      </c>
      <c r="C177">
        <v>50207418</v>
      </c>
      <c r="D177">
        <v>80</v>
      </c>
      <c r="E177">
        <v>0</v>
      </c>
      <c r="F177">
        <v>0</v>
      </c>
      <c r="G177">
        <v>0</v>
      </c>
      <c r="H177">
        <v>80</v>
      </c>
      <c r="I177" s="183" t="s">
        <v>1017</v>
      </c>
      <c r="J177" s="183" t="s">
        <v>12055</v>
      </c>
      <c r="K177">
        <v>0</v>
      </c>
      <c r="L177">
        <v>80</v>
      </c>
    </row>
    <row r="178" spans="1:12">
      <c r="A178" s="183" t="s">
        <v>7201</v>
      </c>
      <c r="B178" s="183" t="s">
        <v>7202</v>
      </c>
      <c r="C178">
        <v>50207509</v>
      </c>
      <c r="D178">
        <v>18</v>
      </c>
      <c r="E178">
        <v>0</v>
      </c>
      <c r="F178">
        <v>0</v>
      </c>
      <c r="G178">
        <v>0</v>
      </c>
      <c r="H178">
        <v>18</v>
      </c>
      <c r="I178" s="183" t="s">
        <v>1017</v>
      </c>
      <c r="J178" s="183" t="s">
        <v>12055</v>
      </c>
      <c r="K178">
        <v>0</v>
      </c>
      <c r="L178">
        <v>18</v>
      </c>
    </row>
    <row r="179" spans="1:12">
      <c r="A179" s="183" t="s">
        <v>7032</v>
      </c>
      <c r="B179" s="183" t="s">
        <v>7033</v>
      </c>
      <c r="C179">
        <v>50208409</v>
      </c>
      <c r="D179">
        <v>238</v>
      </c>
      <c r="E179">
        <v>0</v>
      </c>
      <c r="F179">
        <v>0</v>
      </c>
      <c r="G179">
        <v>0</v>
      </c>
      <c r="H179">
        <v>238</v>
      </c>
      <c r="I179" s="183" t="s">
        <v>1017</v>
      </c>
      <c r="J179" s="183" t="s">
        <v>12052</v>
      </c>
      <c r="K179">
        <v>0</v>
      </c>
      <c r="L179">
        <v>238</v>
      </c>
    </row>
    <row r="180" spans="1:12">
      <c r="A180" s="183" t="s">
        <v>5026</v>
      </c>
      <c r="B180" s="183" t="s">
        <v>5027</v>
      </c>
      <c r="C180">
        <v>50209118</v>
      </c>
      <c r="D180">
        <v>32</v>
      </c>
      <c r="E180">
        <v>0</v>
      </c>
      <c r="F180">
        <v>0</v>
      </c>
      <c r="G180">
        <v>0</v>
      </c>
      <c r="H180">
        <v>32</v>
      </c>
      <c r="I180" s="183" t="s">
        <v>1017</v>
      </c>
      <c r="J180" s="183" t="s">
        <v>12054</v>
      </c>
      <c r="K180">
        <v>0</v>
      </c>
      <c r="L180">
        <v>32</v>
      </c>
    </row>
    <row r="181" spans="1:12">
      <c r="A181" s="183" t="s">
        <v>3416</v>
      </c>
      <c r="B181" s="183" t="s">
        <v>3417</v>
      </c>
      <c r="C181">
        <v>50213118</v>
      </c>
      <c r="D181">
        <v>14</v>
      </c>
      <c r="E181">
        <v>0</v>
      </c>
      <c r="F181">
        <v>0</v>
      </c>
      <c r="G181">
        <v>0</v>
      </c>
      <c r="H181">
        <v>14</v>
      </c>
      <c r="I181" s="183" t="s">
        <v>1017</v>
      </c>
      <c r="J181" s="183" t="s">
        <v>12060</v>
      </c>
      <c r="K181">
        <v>0</v>
      </c>
      <c r="L181">
        <v>14</v>
      </c>
    </row>
    <row r="182" spans="1:12">
      <c r="A182" s="183" t="s">
        <v>5022</v>
      </c>
      <c r="B182" s="183" t="s">
        <v>5023</v>
      </c>
      <c r="C182">
        <v>50213218</v>
      </c>
      <c r="D182">
        <v>43</v>
      </c>
      <c r="E182">
        <v>0</v>
      </c>
      <c r="F182">
        <v>0</v>
      </c>
      <c r="G182">
        <v>0</v>
      </c>
      <c r="H182">
        <v>43</v>
      </c>
      <c r="I182" s="183" t="s">
        <v>1017</v>
      </c>
      <c r="J182" s="183" t="s">
        <v>12050</v>
      </c>
      <c r="K182">
        <v>0</v>
      </c>
      <c r="L182">
        <v>43</v>
      </c>
    </row>
    <row r="183" spans="1:12">
      <c r="A183" s="183" t="s">
        <v>108</v>
      </c>
      <c r="B183" s="183" t="s">
        <v>109</v>
      </c>
      <c r="C183">
        <v>50213418</v>
      </c>
      <c r="D183">
        <v>14</v>
      </c>
      <c r="E183">
        <v>0</v>
      </c>
      <c r="F183">
        <v>0</v>
      </c>
      <c r="G183">
        <v>0</v>
      </c>
      <c r="H183">
        <v>14</v>
      </c>
      <c r="I183" s="183" t="s">
        <v>1017</v>
      </c>
      <c r="J183" s="183" t="s">
        <v>12054</v>
      </c>
      <c r="K183">
        <v>0</v>
      </c>
      <c r="L183">
        <v>14</v>
      </c>
    </row>
    <row r="184" spans="1:12">
      <c r="A184" s="183" t="s">
        <v>8023</v>
      </c>
      <c r="B184" s="183" t="s">
        <v>8024</v>
      </c>
      <c r="C184">
        <v>50215218</v>
      </c>
      <c r="D184">
        <v>37</v>
      </c>
      <c r="E184">
        <v>0</v>
      </c>
      <c r="F184">
        <v>0</v>
      </c>
      <c r="G184">
        <v>0</v>
      </c>
      <c r="H184">
        <v>37</v>
      </c>
      <c r="I184" s="183" t="s">
        <v>1017</v>
      </c>
      <c r="J184" s="183" t="s">
        <v>12061</v>
      </c>
      <c r="K184">
        <v>0</v>
      </c>
      <c r="L184">
        <v>37</v>
      </c>
    </row>
    <row r="185" spans="1:12">
      <c r="A185" s="183" t="s">
        <v>7112</v>
      </c>
      <c r="B185" s="183" t="s">
        <v>7113</v>
      </c>
      <c r="C185">
        <v>50216318</v>
      </c>
      <c r="D185">
        <v>65</v>
      </c>
      <c r="E185">
        <v>0</v>
      </c>
      <c r="F185">
        <v>0</v>
      </c>
      <c r="G185">
        <v>0</v>
      </c>
      <c r="H185">
        <v>65</v>
      </c>
      <c r="I185" s="183" t="s">
        <v>1017</v>
      </c>
      <c r="J185" s="183" t="s">
        <v>12054</v>
      </c>
      <c r="K185">
        <v>0</v>
      </c>
      <c r="L185">
        <v>65</v>
      </c>
    </row>
    <row r="186" spans="1:12">
      <c r="A186" s="183" t="s">
        <v>5762</v>
      </c>
      <c r="B186" s="183" t="s">
        <v>5763</v>
      </c>
      <c r="C186" t="s">
        <v>12075</v>
      </c>
      <c r="D186">
        <v>209</v>
      </c>
      <c r="E186">
        <v>0</v>
      </c>
      <c r="F186">
        <v>0</v>
      </c>
      <c r="G186">
        <v>0</v>
      </c>
      <c r="H186">
        <v>209</v>
      </c>
      <c r="I186" s="183" t="s">
        <v>1324</v>
      </c>
      <c r="J186" s="183" t="s">
        <v>12055</v>
      </c>
      <c r="K186">
        <v>0</v>
      </c>
      <c r="L186">
        <v>209</v>
      </c>
    </row>
    <row r="187" spans="1:12">
      <c r="A187" s="183" t="s">
        <v>6132</v>
      </c>
      <c r="B187" s="183" t="s">
        <v>6133</v>
      </c>
      <c r="C187" t="s">
        <v>12076</v>
      </c>
      <c r="D187">
        <v>91</v>
      </c>
      <c r="E187">
        <v>0</v>
      </c>
      <c r="F187">
        <v>0</v>
      </c>
      <c r="G187">
        <v>0</v>
      </c>
      <c r="H187">
        <v>91</v>
      </c>
      <c r="I187" s="183" t="s">
        <v>1324</v>
      </c>
      <c r="J187" s="183" t="s">
        <v>12055</v>
      </c>
      <c r="K187">
        <v>0</v>
      </c>
      <c r="L187">
        <v>91</v>
      </c>
    </row>
    <row r="188" spans="1:12">
      <c r="A188" s="183" t="s">
        <v>17</v>
      </c>
      <c r="B188" s="183" t="s">
        <v>18</v>
      </c>
      <c r="C188">
        <v>16870203</v>
      </c>
      <c r="D188">
        <v>0</v>
      </c>
      <c r="E188">
        <v>0</v>
      </c>
      <c r="F188">
        <v>99</v>
      </c>
      <c r="G188">
        <v>0</v>
      </c>
      <c r="H188">
        <v>99</v>
      </c>
      <c r="I188" s="183" t="s">
        <v>1110</v>
      </c>
      <c r="J188" s="183" t="s">
        <v>12052</v>
      </c>
      <c r="K188">
        <v>0</v>
      </c>
      <c r="L188">
        <v>0</v>
      </c>
    </row>
    <row r="189" spans="1:12">
      <c r="A189" s="183" t="s">
        <v>25</v>
      </c>
      <c r="B189" s="183" t="s">
        <v>26</v>
      </c>
      <c r="C189">
        <v>16870207</v>
      </c>
      <c r="D189">
        <v>91</v>
      </c>
      <c r="E189">
        <v>0</v>
      </c>
      <c r="F189">
        <v>0</v>
      </c>
      <c r="G189">
        <v>0</v>
      </c>
      <c r="H189">
        <v>91</v>
      </c>
      <c r="I189" s="183" t="s">
        <v>1110</v>
      </c>
      <c r="J189" s="183" t="s">
        <v>12052</v>
      </c>
      <c r="K189">
        <v>0</v>
      </c>
      <c r="L189">
        <v>91</v>
      </c>
    </row>
    <row r="190" spans="1:12">
      <c r="A190" s="183" t="s">
        <v>5702</v>
      </c>
      <c r="B190" s="183" t="s">
        <v>5703</v>
      </c>
      <c r="C190">
        <v>16870211</v>
      </c>
      <c r="D190">
        <v>4</v>
      </c>
      <c r="E190">
        <v>0</v>
      </c>
      <c r="F190">
        <v>0</v>
      </c>
      <c r="G190">
        <v>0</v>
      </c>
      <c r="H190">
        <v>4</v>
      </c>
      <c r="I190" s="183" t="s">
        <v>1110</v>
      </c>
      <c r="J190" s="183" t="s">
        <v>12053</v>
      </c>
      <c r="K190">
        <v>0</v>
      </c>
      <c r="L190">
        <v>4</v>
      </c>
    </row>
    <row r="191" spans="1:12">
      <c r="A191" s="183" t="s">
        <v>7659</v>
      </c>
      <c r="B191" s="183" t="s">
        <v>7660</v>
      </c>
      <c r="C191">
        <v>16870216</v>
      </c>
      <c r="D191">
        <v>11</v>
      </c>
      <c r="E191">
        <v>0</v>
      </c>
      <c r="F191">
        <v>0</v>
      </c>
      <c r="G191">
        <v>0</v>
      </c>
      <c r="H191">
        <v>11</v>
      </c>
      <c r="I191" s="183" t="s">
        <v>1110</v>
      </c>
      <c r="J191" s="183" t="s">
        <v>12053</v>
      </c>
      <c r="K191">
        <v>0</v>
      </c>
      <c r="L191">
        <v>11</v>
      </c>
    </row>
    <row r="192" spans="1:12">
      <c r="A192" s="183" t="s">
        <v>6622</v>
      </c>
      <c r="B192" s="183" t="s">
        <v>6623</v>
      </c>
      <c r="C192">
        <v>16870232</v>
      </c>
      <c r="D192">
        <v>10</v>
      </c>
      <c r="E192">
        <v>0</v>
      </c>
      <c r="F192">
        <v>0</v>
      </c>
      <c r="G192">
        <v>0</v>
      </c>
      <c r="H192">
        <v>10</v>
      </c>
      <c r="I192" s="183" t="s">
        <v>1110</v>
      </c>
      <c r="J192" s="183" t="s">
        <v>12052</v>
      </c>
      <c r="K192">
        <v>0</v>
      </c>
      <c r="L192">
        <v>10</v>
      </c>
    </row>
    <row r="193" spans="1:12">
      <c r="A193" s="183" t="s">
        <v>6698</v>
      </c>
      <c r="B193" s="183" t="s">
        <v>6699</v>
      </c>
      <c r="C193">
        <v>10850193</v>
      </c>
      <c r="D193">
        <v>89</v>
      </c>
      <c r="E193">
        <v>0</v>
      </c>
      <c r="F193">
        <v>0</v>
      </c>
      <c r="G193">
        <v>0</v>
      </c>
      <c r="H193">
        <v>89</v>
      </c>
      <c r="I193" s="183" t="s">
        <v>6632</v>
      </c>
      <c r="J193" s="183" t="s">
        <v>12054</v>
      </c>
      <c r="K193">
        <v>0</v>
      </c>
      <c r="L193">
        <v>89</v>
      </c>
    </row>
    <row r="194" spans="1:12">
      <c r="A194" s="183" t="s">
        <v>6713</v>
      </c>
      <c r="B194" s="183" t="s">
        <v>6714</v>
      </c>
      <c r="C194">
        <v>10850166</v>
      </c>
      <c r="D194">
        <v>122</v>
      </c>
      <c r="E194">
        <v>0</v>
      </c>
      <c r="F194">
        <v>0</v>
      </c>
      <c r="G194">
        <v>0</v>
      </c>
      <c r="H194">
        <v>122</v>
      </c>
      <c r="I194" s="183" t="s">
        <v>6632</v>
      </c>
      <c r="J194" s="183" t="s">
        <v>12054</v>
      </c>
      <c r="K194">
        <v>0</v>
      </c>
      <c r="L194">
        <v>122</v>
      </c>
    </row>
    <row r="195" spans="1:12">
      <c r="A195" s="183" t="s">
        <v>6633</v>
      </c>
      <c r="B195" s="183" t="s">
        <v>6634</v>
      </c>
      <c r="C195">
        <v>10850152</v>
      </c>
      <c r="D195">
        <v>92</v>
      </c>
      <c r="E195">
        <v>0</v>
      </c>
      <c r="F195">
        <v>0</v>
      </c>
      <c r="G195">
        <v>0</v>
      </c>
      <c r="H195">
        <v>92</v>
      </c>
      <c r="I195" s="183" t="s">
        <v>6632</v>
      </c>
      <c r="J195" s="183" t="s">
        <v>12058</v>
      </c>
      <c r="K195">
        <v>0</v>
      </c>
      <c r="L195">
        <v>92</v>
      </c>
    </row>
    <row r="196" spans="1:12">
      <c r="A196" s="183" t="s">
        <v>6733</v>
      </c>
      <c r="B196" s="183" t="s">
        <v>6734</v>
      </c>
      <c r="C196">
        <v>10850138</v>
      </c>
      <c r="D196">
        <v>101</v>
      </c>
      <c r="E196">
        <v>0</v>
      </c>
      <c r="F196">
        <v>0</v>
      </c>
      <c r="G196">
        <v>0</v>
      </c>
      <c r="H196">
        <v>101</v>
      </c>
      <c r="I196" s="183" t="s">
        <v>6632</v>
      </c>
      <c r="J196" s="183" t="s">
        <v>12059</v>
      </c>
      <c r="K196">
        <v>0</v>
      </c>
      <c r="L196">
        <v>101</v>
      </c>
    </row>
    <row r="197" spans="1:12">
      <c r="A197" s="183" t="s">
        <v>6715</v>
      </c>
      <c r="B197" s="183" t="s">
        <v>6716</v>
      </c>
      <c r="C197">
        <v>10850136</v>
      </c>
      <c r="D197">
        <v>76</v>
      </c>
      <c r="E197">
        <v>0</v>
      </c>
      <c r="F197">
        <v>0</v>
      </c>
      <c r="G197">
        <v>0</v>
      </c>
      <c r="H197">
        <v>76</v>
      </c>
      <c r="I197" s="183" t="s">
        <v>6632</v>
      </c>
      <c r="J197" s="183" t="s">
        <v>12067</v>
      </c>
      <c r="K197">
        <v>0</v>
      </c>
      <c r="L197">
        <v>76</v>
      </c>
    </row>
    <row r="198" spans="1:12">
      <c r="A198" s="183" t="s">
        <v>6752</v>
      </c>
      <c r="B198" s="183" t="s">
        <v>6753</v>
      </c>
      <c r="C198">
        <v>10850134</v>
      </c>
      <c r="D198">
        <v>68</v>
      </c>
      <c r="E198">
        <v>0</v>
      </c>
      <c r="F198">
        <v>0</v>
      </c>
      <c r="G198">
        <v>0</v>
      </c>
      <c r="H198">
        <v>68</v>
      </c>
      <c r="I198" s="183" t="s">
        <v>6632</v>
      </c>
      <c r="J198" s="183" t="s">
        <v>12060</v>
      </c>
      <c r="K198">
        <v>0</v>
      </c>
      <c r="L198">
        <v>68</v>
      </c>
    </row>
    <row r="199" spans="1:12">
      <c r="A199" s="183" t="s">
        <v>6717</v>
      </c>
      <c r="B199" s="183" t="s">
        <v>6718</v>
      </c>
      <c r="C199">
        <v>10850128</v>
      </c>
      <c r="D199">
        <v>45</v>
      </c>
      <c r="E199">
        <v>0</v>
      </c>
      <c r="F199">
        <v>0</v>
      </c>
      <c r="G199">
        <v>0</v>
      </c>
      <c r="H199">
        <v>45</v>
      </c>
      <c r="I199" s="183" t="s">
        <v>6632</v>
      </c>
      <c r="J199" s="183" t="s">
        <v>12058</v>
      </c>
      <c r="K199">
        <v>0</v>
      </c>
      <c r="L199">
        <v>45</v>
      </c>
    </row>
    <row r="200" spans="1:12">
      <c r="A200" s="183" t="s">
        <v>6663</v>
      </c>
      <c r="B200" s="183" t="s">
        <v>6664</v>
      </c>
      <c r="C200">
        <v>10850207</v>
      </c>
      <c r="D200">
        <v>53</v>
      </c>
      <c r="E200">
        <v>0</v>
      </c>
      <c r="F200">
        <v>0</v>
      </c>
      <c r="G200">
        <v>0</v>
      </c>
      <c r="H200">
        <v>53</v>
      </c>
      <c r="I200" s="183" t="s">
        <v>6632</v>
      </c>
      <c r="J200" s="183" t="s">
        <v>12056</v>
      </c>
      <c r="K200">
        <v>0</v>
      </c>
      <c r="L200">
        <v>53</v>
      </c>
    </row>
    <row r="201" spans="1:12">
      <c r="A201" s="183" t="s">
        <v>6788</v>
      </c>
      <c r="B201" s="183" t="s">
        <v>6789</v>
      </c>
      <c r="C201">
        <v>10850221</v>
      </c>
      <c r="D201">
        <v>10</v>
      </c>
      <c r="E201">
        <v>0</v>
      </c>
      <c r="F201">
        <v>0</v>
      </c>
      <c r="G201">
        <v>0</v>
      </c>
      <c r="H201">
        <v>10</v>
      </c>
      <c r="I201" s="183" t="s">
        <v>6632</v>
      </c>
      <c r="J201" s="183" t="s">
        <v>12052</v>
      </c>
      <c r="K201">
        <v>0</v>
      </c>
      <c r="L201">
        <v>10</v>
      </c>
    </row>
    <row r="202" spans="1:12">
      <c r="A202" s="183" t="s">
        <v>6703</v>
      </c>
      <c r="B202" s="183" t="s">
        <v>6704</v>
      </c>
      <c r="C202">
        <v>10850230</v>
      </c>
      <c r="D202">
        <v>9</v>
      </c>
      <c r="E202">
        <v>0</v>
      </c>
      <c r="F202">
        <v>0</v>
      </c>
      <c r="G202">
        <v>0</v>
      </c>
      <c r="H202">
        <v>9</v>
      </c>
      <c r="I202" s="183" t="s">
        <v>6632</v>
      </c>
      <c r="J202" s="183" t="s">
        <v>12059</v>
      </c>
      <c r="K202">
        <v>0</v>
      </c>
      <c r="L202">
        <v>9</v>
      </c>
    </row>
    <row r="203" spans="1:12">
      <c r="A203" s="183" t="s">
        <v>6700</v>
      </c>
      <c r="B203" s="183" t="s">
        <v>6701</v>
      </c>
      <c r="C203">
        <v>10850244</v>
      </c>
      <c r="D203">
        <v>24</v>
      </c>
      <c r="E203">
        <v>0</v>
      </c>
      <c r="F203">
        <v>0</v>
      </c>
      <c r="G203">
        <v>0</v>
      </c>
      <c r="H203">
        <v>24</v>
      </c>
      <c r="I203" s="183" t="s">
        <v>6632</v>
      </c>
      <c r="J203" s="183" t="s">
        <v>12057</v>
      </c>
      <c r="K203">
        <v>0</v>
      </c>
      <c r="L203">
        <v>24</v>
      </c>
    </row>
    <row r="204" spans="1:12">
      <c r="A204" s="183" t="s">
        <v>6754</v>
      </c>
      <c r="B204" s="183" t="s">
        <v>6755</v>
      </c>
      <c r="C204">
        <v>10850258</v>
      </c>
      <c r="D204">
        <v>67</v>
      </c>
      <c r="E204">
        <v>0</v>
      </c>
      <c r="F204">
        <v>0</v>
      </c>
      <c r="G204">
        <v>0</v>
      </c>
      <c r="H204">
        <v>67</v>
      </c>
      <c r="I204" s="183" t="s">
        <v>6632</v>
      </c>
      <c r="J204" s="183" t="s">
        <v>12056</v>
      </c>
      <c r="K204">
        <v>0</v>
      </c>
      <c r="L204">
        <v>67</v>
      </c>
    </row>
    <row r="205" spans="1:12">
      <c r="A205" s="183" t="s">
        <v>6735</v>
      </c>
      <c r="B205" s="183" t="s">
        <v>6736</v>
      </c>
      <c r="C205">
        <v>10850274</v>
      </c>
      <c r="D205">
        <v>68</v>
      </c>
      <c r="E205">
        <v>0</v>
      </c>
      <c r="F205">
        <v>0</v>
      </c>
      <c r="G205">
        <v>0</v>
      </c>
      <c r="H205">
        <v>68</v>
      </c>
      <c r="I205" s="183" t="s">
        <v>6632</v>
      </c>
      <c r="J205" s="183" t="s">
        <v>12060</v>
      </c>
      <c r="K205">
        <v>0</v>
      </c>
      <c r="L205">
        <v>68</v>
      </c>
    </row>
    <row r="206" spans="1:12">
      <c r="A206" s="183" t="s">
        <v>7605</v>
      </c>
      <c r="B206" s="183" t="s">
        <v>7606</v>
      </c>
      <c r="C206">
        <v>10870224</v>
      </c>
      <c r="D206">
        <v>40</v>
      </c>
      <c r="E206">
        <v>0</v>
      </c>
      <c r="F206">
        <v>0</v>
      </c>
      <c r="G206">
        <v>0</v>
      </c>
      <c r="H206">
        <v>40</v>
      </c>
      <c r="I206" s="183" t="s">
        <v>7602</v>
      </c>
      <c r="J206" s="183" t="s">
        <v>12054</v>
      </c>
      <c r="K206">
        <v>0</v>
      </c>
      <c r="L206">
        <v>40</v>
      </c>
    </row>
    <row r="207" spans="1:12">
      <c r="A207" s="183" t="s">
        <v>7477</v>
      </c>
      <c r="B207" s="183" t="s">
        <v>7478</v>
      </c>
      <c r="C207">
        <v>10890205</v>
      </c>
      <c r="D207">
        <v>44</v>
      </c>
      <c r="E207">
        <v>0</v>
      </c>
      <c r="F207">
        <v>0</v>
      </c>
      <c r="G207">
        <v>0</v>
      </c>
      <c r="H207">
        <v>44</v>
      </c>
      <c r="I207" s="183" t="s">
        <v>7423</v>
      </c>
      <c r="J207" s="183" t="s">
        <v>12061</v>
      </c>
      <c r="K207">
        <v>0</v>
      </c>
      <c r="L207">
        <v>44</v>
      </c>
    </row>
    <row r="208" spans="1:12">
      <c r="A208" s="183" t="s">
        <v>7465</v>
      </c>
      <c r="B208" s="183" t="s">
        <v>7466</v>
      </c>
      <c r="C208">
        <v>10890209</v>
      </c>
      <c r="D208">
        <v>60</v>
      </c>
      <c r="E208">
        <v>0</v>
      </c>
      <c r="F208">
        <v>0</v>
      </c>
      <c r="G208">
        <v>0</v>
      </c>
      <c r="H208">
        <v>60</v>
      </c>
      <c r="I208" s="183" t="s">
        <v>7423</v>
      </c>
      <c r="J208" s="183" t="s">
        <v>12057</v>
      </c>
      <c r="K208">
        <v>0</v>
      </c>
      <c r="L208">
        <v>60</v>
      </c>
    </row>
    <row r="209" spans="1:12">
      <c r="A209" s="183" t="s">
        <v>7444</v>
      </c>
      <c r="B209" s="183" t="s">
        <v>7445</v>
      </c>
      <c r="C209">
        <v>10890217</v>
      </c>
      <c r="D209">
        <v>127</v>
      </c>
      <c r="E209">
        <v>0</v>
      </c>
      <c r="F209">
        <v>0</v>
      </c>
      <c r="G209">
        <v>0</v>
      </c>
      <c r="H209">
        <v>127</v>
      </c>
      <c r="I209" s="183" t="s">
        <v>7423</v>
      </c>
      <c r="J209" s="183" t="s">
        <v>12056</v>
      </c>
      <c r="K209">
        <v>0</v>
      </c>
      <c r="L209">
        <v>127</v>
      </c>
    </row>
    <row r="210" spans="1:12">
      <c r="A210" s="183" t="s">
        <v>7428</v>
      </c>
      <c r="B210" s="183" t="s">
        <v>7429</v>
      </c>
      <c r="C210">
        <v>10890218</v>
      </c>
      <c r="D210">
        <v>135</v>
      </c>
      <c r="E210">
        <v>0</v>
      </c>
      <c r="F210">
        <v>0</v>
      </c>
      <c r="G210">
        <v>0</v>
      </c>
      <c r="H210">
        <v>135</v>
      </c>
      <c r="I210" s="183" t="s">
        <v>7423</v>
      </c>
      <c r="J210" s="183" t="s">
        <v>12057</v>
      </c>
      <c r="K210">
        <v>0</v>
      </c>
      <c r="L210">
        <v>135</v>
      </c>
    </row>
    <row r="211" spans="1:12">
      <c r="A211" s="183" t="s">
        <v>7469</v>
      </c>
      <c r="B211" s="183" t="s">
        <v>7470</v>
      </c>
      <c r="C211">
        <v>10890224</v>
      </c>
      <c r="D211">
        <v>90</v>
      </c>
      <c r="E211">
        <v>0</v>
      </c>
      <c r="F211">
        <v>0</v>
      </c>
      <c r="G211">
        <v>0</v>
      </c>
      <c r="H211">
        <v>90</v>
      </c>
      <c r="I211" s="183" t="s">
        <v>7423</v>
      </c>
      <c r="J211" s="183" t="s">
        <v>12060</v>
      </c>
      <c r="K211">
        <v>0</v>
      </c>
      <c r="L211">
        <v>90</v>
      </c>
    </row>
    <row r="212" spans="1:12">
      <c r="A212" s="183" t="s">
        <v>5535</v>
      </c>
      <c r="B212" s="183" t="s">
        <v>5536</v>
      </c>
      <c r="C212">
        <v>11870210</v>
      </c>
      <c r="D212">
        <v>7</v>
      </c>
      <c r="E212">
        <v>0</v>
      </c>
      <c r="F212">
        <v>0</v>
      </c>
      <c r="G212">
        <v>0</v>
      </c>
      <c r="H212">
        <v>7</v>
      </c>
      <c r="I212" s="183" t="s">
        <v>1132</v>
      </c>
      <c r="J212" s="183" t="s">
        <v>12057</v>
      </c>
      <c r="K212">
        <v>0</v>
      </c>
      <c r="L212">
        <v>7</v>
      </c>
    </row>
    <row r="213" spans="1:12">
      <c r="A213" s="183" t="s">
        <v>7629</v>
      </c>
      <c r="B213" s="183" t="s">
        <v>7630</v>
      </c>
      <c r="C213">
        <v>11870215</v>
      </c>
      <c r="D213">
        <v>8</v>
      </c>
      <c r="E213">
        <v>0</v>
      </c>
      <c r="F213">
        <v>0</v>
      </c>
      <c r="G213">
        <v>0</v>
      </c>
      <c r="H213">
        <v>8</v>
      </c>
      <c r="I213" s="183" t="s">
        <v>1132</v>
      </c>
      <c r="J213" s="183" t="s">
        <v>12061</v>
      </c>
      <c r="K213">
        <v>0</v>
      </c>
      <c r="L213">
        <v>8</v>
      </c>
    </row>
    <row r="214" spans="1:12">
      <c r="A214" s="183" t="s">
        <v>41</v>
      </c>
      <c r="B214" s="183" t="s">
        <v>42</v>
      </c>
      <c r="C214">
        <v>11870234</v>
      </c>
      <c r="D214">
        <v>107</v>
      </c>
      <c r="E214">
        <v>0</v>
      </c>
      <c r="F214">
        <v>0</v>
      </c>
      <c r="G214">
        <v>0</v>
      </c>
      <c r="H214">
        <v>107</v>
      </c>
      <c r="I214" s="183" t="s">
        <v>1132</v>
      </c>
      <c r="J214" s="183" t="s">
        <v>12060</v>
      </c>
      <c r="K214">
        <v>0</v>
      </c>
      <c r="L214">
        <v>107</v>
      </c>
    </row>
    <row r="215" spans="1:12">
      <c r="A215" s="183" t="s">
        <v>47</v>
      </c>
      <c r="B215" s="183" t="s">
        <v>48</v>
      </c>
      <c r="C215">
        <v>11870240</v>
      </c>
      <c r="D215">
        <v>37</v>
      </c>
      <c r="E215">
        <v>0</v>
      </c>
      <c r="F215">
        <v>0</v>
      </c>
      <c r="G215">
        <v>0</v>
      </c>
      <c r="H215">
        <v>37</v>
      </c>
      <c r="I215" s="183" t="s">
        <v>1132</v>
      </c>
      <c r="J215" s="183" t="s">
        <v>12057</v>
      </c>
      <c r="K215">
        <v>0</v>
      </c>
      <c r="L215">
        <v>37</v>
      </c>
    </row>
    <row r="216" spans="1:12">
      <c r="A216" s="183" t="s">
        <v>7155</v>
      </c>
      <c r="B216" s="183" t="s">
        <v>7156</v>
      </c>
      <c r="C216">
        <v>50201418</v>
      </c>
      <c r="D216">
        <v>22</v>
      </c>
      <c r="E216">
        <v>0</v>
      </c>
      <c r="F216">
        <v>0</v>
      </c>
      <c r="G216">
        <v>0</v>
      </c>
      <c r="H216">
        <v>22</v>
      </c>
      <c r="I216" s="183" t="s">
        <v>1017</v>
      </c>
      <c r="J216" s="183" t="s">
        <v>12060</v>
      </c>
      <c r="K216">
        <v>0</v>
      </c>
      <c r="L216">
        <v>22</v>
      </c>
    </row>
    <row r="217" spans="1:12">
      <c r="A217" s="183" t="s">
        <v>7054</v>
      </c>
      <c r="B217" s="183" t="s">
        <v>7055</v>
      </c>
      <c r="C217">
        <v>50204409</v>
      </c>
      <c r="D217">
        <v>35</v>
      </c>
      <c r="E217">
        <v>0</v>
      </c>
      <c r="F217">
        <v>0</v>
      </c>
      <c r="G217">
        <v>0</v>
      </c>
      <c r="H217">
        <v>35</v>
      </c>
      <c r="I217" s="183" t="s">
        <v>1017</v>
      </c>
      <c r="J217" s="183" t="s">
        <v>12055</v>
      </c>
      <c r="K217">
        <v>0</v>
      </c>
      <c r="L217">
        <v>35</v>
      </c>
    </row>
    <row r="218" spans="1:12">
      <c r="A218" s="183" t="s">
        <v>7052</v>
      </c>
      <c r="B218" s="183" t="s">
        <v>7053</v>
      </c>
      <c r="C218">
        <v>50205209</v>
      </c>
      <c r="D218">
        <v>18</v>
      </c>
      <c r="E218">
        <v>0</v>
      </c>
      <c r="F218">
        <v>0</v>
      </c>
      <c r="G218">
        <v>0</v>
      </c>
      <c r="H218">
        <v>18</v>
      </c>
      <c r="I218" s="183" t="s">
        <v>1017</v>
      </c>
      <c r="J218" s="183" t="s">
        <v>12052</v>
      </c>
      <c r="K218">
        <v>0</v>
      </c>
      <c r="L218">
        <v>18</v>
      </c>
    </row>
    <row r="219" spans="1:12">
      <c r="A219" s="183" t="s">
        <v>3010</v>
      </c>
      <c r="B219" s="183" t="s">
        <v>3011</v>
      </c>
      <c r="C219">
        <v>50208318</v>
      </c>
      <c r="D219">
        <v>21</v>
      </c>
      <c r="E219">
        <v>0</v>
      </c>
      <c r="F219">
        <v>0</v>
      </c>
      <c r="G219">
        <v>0</v>
      </c>
      <c r="H219">
        <v>21</v>
      </c>
      <c r="I219" s="183" t="s">
        <v>1017</v>
      </c>
      <c r="J219" s="183" t="s">
        <v>12054</v>
      </c>
      <c r="K219">
        <v>0</v>
      </c>
      <c r="L219">
        <v>21</v>
      </c>
    </row>
    <row r="220" spans="1:12">
      <c r="A220" s="183" t="s">
        <v>3014</v>
      </c>
      <c r="B220" s="183" t="s">
        <v>3015</v>
      </c>
      <c r="C220">
        <v>50209318</v>
      </c>
      <c r="D220">
        <v>33</v>
      </c>
      <c r="E220">
        <v>0</v>
      </c>
      <c r="F220">
        <v>0</v>
      </c>
      <c r="G220">
        <v>0</v>
      </c>
      <c r="H220">
        <v>33</v>
      </c>
      <c r="I220" s="183" t="s">
        <v>1017</v>
      </c>
      <c r="J220" s="183" t="s">
        <v>12060</v>
      </c>
      <c r="K220">
        <v>0</v>
      </c>
      <c r="L220">
        <v>33</v>
      </c>
    </row>
    <row r="221" spans="1:12">
      <c r="A221" s="183" t="s">
        <v>98</v>
      </c>
      <c r="B221" s="183" t="s">
        <v>99</v>
      </c>
      <c r="C221">
        <v>50209418</v>
      </c>
      <c r="D221">
        <v>96</v>
      </c>
      <c r="E221">
        <v>0</v>
      </c>
      <c r="F221">
        <v>0</v>
      </c>
      <c r="G221">
        <v>0</v>
      </c>
      <c r="H221">
        <v>96</v>
      </c>
      <c r="I221" s="183" t="s">
        <v>1017</v>
      </c>
      <c r="J221" s="183" t="s">
        <v>12067</v>
      </c>
      <c r="K221">
        <v>0</v>
      </c>
      <c r="L221">
        <v>96</v>
      </c>
    </row>
    <row r="222" spans="1:12">
      <c r="A222" s="183" t="s">
        <v>3485</v>
      </c>
      <c r="B222" s="183" t="s">
        <v>3486</v>
      </c>
      <c r="C222">
        <v>50211218</v>
      </c>
      <c r="D222">
        <v>43</v>
      </c>
      <c r="E222">
        <v>0</v>
      </c>
      <c r="F222">
        <v>0</v>
      </c>
      <c r="G222">
        <v>0</v>
      </c>
      <c r="H222">
        <v>43</v>
      </c>
      <c r="I222" s="183" t="s">
        <v>1017</v>
      </c>
      <c r="J222" s="183" t="s">
        <v>12054</v>
      </c>
      <c r="K222">
        <v>0</v>
      </c>
      <c r="L222">
        <v>43</v>
      </c>
    </row>
    <row r="223" spans="1:12">
      <c r="A223" s="183" t="s">
        <v>7012</v>
      </c>
      <c r="B223" s="183" t="s">
        <v>7013</v>
      </c>
      <c r="C223">
        <v>50211309</v>
      </c>
      <c r="D223">
        <v>26</v>
      </c>
      <c r="E223">
        <v>0</v>
      </c>
      <c r="F223">
        <v>0</v>
      </c>
      <c r="G223">
        <v>0</v>
      </c>
      <c r="H223">
        <v>26</v>
      </c>
      <c r="I223" s="183" t="s">
        <v>1017</v>
      </c>
      <c r="J223" s="183" t="s">
        <v>12061</v>
      </c>
      <c r="K223">
        <v>0</v>
      </c>
      <c r="L223">
        <v>26</v>
      </c>
    </row>
    <row r="224" spans="1:12">
      <c r="A224" s="183" t="s">
        <v>102</v>
      </c>
      <c r="B224" s="183" t="s">
        <v>103</v>
      </c>
      <c r="C224">
        <v>50211518</v>
      </c>
      <c r="D224">
        <v>26</v>
      </c>
      <c r="E224">
        <v>0</v>
      </c>
      <c r="F224">
        <v>0</v>
      </c>
      <c r="G224">
        <v>0</v>
      </c>
      <c r="H224">
        <v>26</v>
      </c>
      <c r="I224" s="183" t="s">
        <v>1017</v>
      </c>
      <c r="J224" s="183" t="s">
        <v>12056</v>
      </c>
      <c r="K224">
        <v>0</v>
      </c>
      <c r="L224">
        <v>26</v>
      </c>
    </row>
    <row r="225" spans="1:12">
      <c r="A225" s="183" t="s">
        <v>5000</v>
      </c>
      <c r="B225" s="183" t="s">
        <v>5001</v>
      </c>
      <c r="C225">
        <v>50212218</v>
      </c>
      <c r="D225">
        <v>9</v>
      </c>
      <c r="E225">
        <v>0</v>
      </c>
      <c r="F225">
        <v>0</v>
      </c>
      <c r="G225">
        <v>0</v>
      </c>
      <c r="H225">
        <v>9</v>
      </c>
      <c r="I225" s="183" t="s">
        <v>1017</v>
      </c>
      <c r="J225" s="183" t="s">
        <v>12055</v>
      </c>
      <c r="K225">
        <v>0</v>
      </c>
      <c r="L225">
        <v>9</v>
      </c>
    </row>
    <row r="226" spans="1:12">
      <c r="A226" s="183" t="s">
        <v>7137</v>
      </c>
      <c r="B226" s="183" t="s">
        <v>7138</v>
      </c>
      <c r="C226">
        <v>50212509</v>
      </c>
      <c r="D226">
        <v>18</v>
      </c>
      <c r="E226">
        <v>0</v>
      </c>
      <c r="F226">
        <v>0</v>
      </c>
      <c r="G226">
        <v>0</v>
      </c>
      <c r="H226">
        <v>18</v>
      </c>
      <c r="I226" s="183" t="s">
        <v>1017</v>
      </c>
      <c r="J226" s="183" t="s">
        <v>12057</v>
      </c>
      <c r="K226">
        <v>0</v>
      </c>
      <c r="L226">
        <v>18</v>
      </c>
    </row>
    <row r="227" spans="1:12">
      <c r="A227" s="183" t="s">
        <v>106</v>
      </c>
      <c r="B227" s="183" t="s">
        <v>107</v>
      </c>
      <c r="C227">
        <v>50212518</v>
      </c>
      <c r="D227">
        <v>46</v>
      </c>
      <c r="E227">
        <v>0</v>
      </c>
      <c r="F227">
        <v>0</v>
      </c>
      <c r="G227">
        <v>0</v>
      </c>
      <c r="H227">
        <v>46</v>
      </c>
      <c r="I227" s="183" t="s">
        <v>1017</v>
      </c>
      <c r="J227" s="183" t="s">
        <v>12050</v>
      </c>
      <c r="K227">
        <v>0</v>
      </c>
      <c r="L227">
        <v>46</v>
      </c>
    </row>
    <row r="228" spans="1:12">
      <c r="A228" s="183" t="s">
        <v>8222</v>
      </c>
      <c r="B228" s="183" t="s">
        <v>8223</v>
      </c>
      <c r="C228">
        <v>50214418</v>
      </c>
      <c r="D228">
        <v>9</v>
      </c>
      <c r="E228">
        <v>0</v>
      </c>
      <c r="F228">
        <v>0</v>
      </c>
      <c r="G228">
        <v>0</v>
      </c>
      <c r="H228">
        <v>9</v>
      </c>
      <c r="I228" s="183" t="s">
        <v>1017</v>
      </c>
      <c r="J228" s="183" t="s">
        <v>12055</v>
      </c>
      <c r="K228">
        <v>0</v>
      </c>
      <c r="L228">
        <v>9</v>
      </c>
    </row>
    <row r="229" spans="1:12">
      <c r="A229" s="183" t="s">
        <v>114</v>
      </c>
      <c r="B229" s="183" t="s">
        <v>115</v>
      </c>
      <c r="C229">
        <v>50215418</v>
      </c>
      <c r="D229">
        <v>3</v>
      </c>
      <c r="E229">
        <v>0</v>
      </c>
      <c r="F229">
        <v>0</v>
      </c>
      <c r="G229">
        <v>0</v>
      </c>
      <c r="H229">
        <v>3</v>
      </c>
      <c r="I229" s="183" t="s">
        <v>1017</v>
      </c>
      <c r="J229" s="183" t="s">
        <v>12056</v>
      </c>
      <c r="K229">
        <v>0</v>
      </c>
      <c r="L229">
        <v>3</v>
      </c>
    </row>
    <row r="230" spans="1:12">
      <c r="A230" s="183" t="s">
        <v>116</v>
      </c>
      <c r="B230" s="183" t="s">
        <v>117</v>
      </c>
      <c r="C230">
        <v>50217518</v>
      </c>
      <c r="D230">
        <v>9</v>
      </c>
      <c r="E230">
        <v>0</v>
      </c>
      <c r="F230">
        <v>0</v>
      </c>
      <c r="G230">
        <v>0</v>
      </c>
      <c r="H230">
        <v>9</v>
      </c>
      <c r="I230" s="183" t="s">
        <v>1017</v>
      </c>
      <c r="J230" s="183" t="s">
        <v>12061</v>
      </c>
      <c r="K230">
        <v>0</v>
      </c>
      <c r="L230">
        <v>9</v>
      </c>
    </row>
    <row r="231" spans="1:12">
      <c r="A231" s="183" t="s">
        <v>6906</v>
      </c>
      <c r="B231" s="183" t="s">
        <v>6907</v>
      </c>
      <c r="C231">
        <v>50219109</v>
      </c>
      <c r="D231">
        <v>28</v>
      </c>
      <c r="E231">
        <v>0</v>
      </c>
      <c r="F231">
        <v>0</v>
      </c>
      <c r="G231">
        <v>0</v>
      </c>
      <c r="H231">
        <v>28</v>
      </c>
      <c r="I231" s="183" t="s">
        <v>1017</v>
      </c>
      <c r="J231" s="183" t="s">
        <v>12054</v>
      </c>
      <c r="K231">
        <v>0</v>
      </c>
      <c r="L231">
        <v>28</v>
      </c>
    </row>
    <row r="232" spans="1:12">
      <c r="A232" s="183" t="s">
        <v>6051</v>
      </c>
      <c r="B232" s="183" t="s">
        <v>6052</v>
      </c>
      <c r="C232">
        <v>50224118</v>
      </c>
      <c r="D232">
        <v>8</v>
      </c>
      <c r="E232">
        <v>0</v>
      </c>
      <c r="F232">
        <v>0</v>
      </c>
      <c r="G232">
        <v>0</v>
      </c>
      <c r="H232">
        <v>8</v>
      </c>
      <c r="I232" s="183" t="s">
        <v>1017</v>
      </c>
      <c r="J232" s="183" t="s">
        <v>12054</v>
      </c>
      <c r="K232">
        <v>0</v>
      </c>
      <c r="L232">
        <v>8</v>
      </c>
    </row>
    <row r="233" spans="1:12">
      <c r="A233" s="183" t="s">
        <v>3941</v>
      </c>
      <c r="B233" s="183" t="s">
        <v>3942</v>
      </c>
      <c r="C233">
        <v>50224418</v>
      </c>
      <c r="D233">
        <v>5</v>
      </c>
      <c r="E233">
        <v>0</v>
      </c>
      <c r="F233">
        <v>0</v>
      </c>
      <c r="G233">
        <v>0</v>
      </c>
      <c r="H233">
        <v>5</v>
      </c>
      <c r="I233" s="183" t="s">
        <v>1017</v>
      </c>
      <c r="J233" s="183" t="s">
        <v>12059</v>
      </c>
      <c r="K233">
        <v>0</v>
      </c>
      <c r="L233">
        <v>5</v>
      </c>
    </row>
    <row r="234" spans="1:12">
      <c r="A234" s="183" t="s">
        <v>7280</v>
      </c>
      <c r="B234" s="183" t="s">
        <v>7281</v>
      </c>
      <c r="C234">
        <v>50224509</v>
      </c>
      <c r="D234">
        <v>34</v>
      </c>
      <c r="E234">
        <v>0</v>
      </c>
      <c r="F234">
        <v>0</v>
      </c>
      <c r="G234">
        <v>0</v>
      </c>
      <c r="H234">
        <v>34</v>
      </c>
      <c r="I234" s="183" t="s">
        <v>1017</v>
      </c>
      <c r="J234" s="183" t="s">
        <v>12054</v>
      </c>
      <c r="K234">
        <v>0</v>
      </c>
      <c r="L234">
        <v>34</v>
      </c>
    </row>
    <row r="235" spans="1:12">
      <c r="A235" s="183" t="s">
        <v>7256</v>
      </c>
      <c r="B235" s="183" t="s">
        <v>7257</v>
      </c>
      <c r="C235">
        <v>50236409</v>
      </c>
      <c r="D235">
        <v>28</v>
      </c>
      <c r="E235">
        <v>0</v>
      </c>
      <c r="F235">
        <v>0</v>
      </c>
      <c r="G235">
        <v>0</v>
      </c>
      <c r="H235">
        <v>28</v>
      </c>
      <c r="I235" s="183" t="s">
        <v>1017</v>
      </c>
      <c r="J235" s="183" t="s">
        <v>12060</v>
      </c>
      <c r="K235">
        <v>0</v>
      </c>
      <c r="L235">
        <v>28</v>
      </c>
    </row>
    <row r="236" spans="1:12">
      <c r="A236" s="183" t="s">
        <v>2489</v>
      </c>
      <c r="B236" s="183" t="s">
        <v>2490</v>
      </c>
      <c r="C236">
        <v>50200208</v>
      </c>
      <c r="D236">
        <v>44</v>
      </c>
      <c r="E236">
        <v>0</v>
      </c>
      <c r="F236">
        <v>0</v>
      </c>
      <c r="G236">
        <v>0</v>
      </c>
      <c r="H236">
        <v>44</v>
      </c>
      <c r="I236" s="183" t="s">
        <v>1098</v>
      </c>
      <c r="J236" s="183" t="s">
        <v>12057</v>
      </c>
      <c r="K236">
        <v>0</v>
      </c>
      <c r="L236">
        <v>44</v>
      </c>
    </row>
    <row r="237" spans="1:12">
      <c r="A237" s="183" t="s">
        <v>2007</v>
      </c>
      <c r="B237" s="183" t="s">
        <v>2008</v>
      </c>
      <c r="C237">
        <v>50200217</v>
      </c>
      <c r="D237">
        <v>49</v>
      </c>
      <c r="E237">
        <v>0</v>
      </c>
      <c r="F237">
        <v>0</v>
      </c>
      <c r="G237">
        <v>0</v>
      </c>
      <c r="H237">
        <v>49</v>
      </c>
      <c r="I237" s="183" t="s">
        <v>1098</v>
      </c>
      <c r="J237" s="183" t="s">
        <v>12061</v>
      </c>
      <c r="K237">
        <v>0</v>
      </c>
      <c r="L237">
        <v>49</v>
      </c>
    </row>
    <row r="238" spans="1:12">
      <c r="A238" s="183" t="s">
        <v>1848</v>
      </c>
      <c r="B238" s="183" t="s">
        <v>1849</v>
      </c>
      <c r="C238">
        <v>50202115</v>
      </c>
      <c r="D238">
        <v>50</v>
      </c>
      <c r="E238">
        <v>0</v>
      </c>
      <c r="F238">
        <v>0</v>
      </c>
      <c r="G238">
        <v>0</v>
      </c>
      <c r="H238">
        <v>50</v>
      </c>
      <c r="I238" s="183" t="s">
        <v>1098</v>
      </c>
      <c r="J238" s="183" t="s">
        <v>12066</v>
      </c>
      <c r="K238">
        <v>0</v>
      </c>
      <c r="L238">
        <v>50</v>
      </c>
    </row>
    <row r="239" spans="1:12">
      <c r="A239" s="183" t="s">
        <v>2195</v>
      </c>
      <c r="B239" s="183" t="s">
        <v>2196</v>
      </c>
      <c r="C239">
        <v>50202202</v>
      </c>
      <c r="D239">
        <v>50</v>
      </c>
      <c r="E239">
        <v>0</v>
      </c>
      <c r="F239">
        <v>0</v>
      </c>
      <c r="G239">
        <v>0</v>
      </c>
      <c r="H239">
        <v>50</v>
      </c>
      <c r="I239" s="183" t="s">
        <v>1098</v>
      </c>
      <c r="J239" s="183" t="s">
        <v>12050</v>
      </c>
      <c r="K239">
        <v>0</v>
      </c>
      <c r="L239">
        <v>50</v>
      </c>
    </row>
    <row r="240" spans="1:12">
      <c r="A240" s="183" t="s">
        <v>1686</v>
      </c>
      <c r="B240" s="183" t="s">
        <v>1687</v>
      </c>
      <c r="C240">
        <v>50202308</v>
      </c>
      <c r="D240">
        <v>56</v>
      </c>
      <c r="E240">
        <v>0</v>
      </c>
      <c r="F240">
        <v>0</v>
      </c>
      <c r="G240">
        <v>0</v>
      </c>
      <c r="H240">
        <v>56</v>
      </c>
      <c r="I240" s="183" t="s">
        <v>1098</v>
      </c>
      <c r="J240" s="183" t="s">
        <v>12060</v>
      </c>
      <c r="K240">
        <v>0</v>
      </c>
      <c r="L240">
        <v>56</v>
      </c>
    </row>
    <row r="241" spans="1:12">
      <c r="A241" s="183" t="s">
        <v>8009</v>
      </c>
      <c r="B241" s="183" t="s">
        <v>8010</v>
      </c>
      <c r="C241">
        <v>50202317</v>
      </c>
      <c r="D241">
        <v>34</v>
      </c>
      <c r="E241">
        <v>0</v>
      </c>
      <c r="F241">
        <v>0</v>
      </c>
      <c r="G241">
        <v>0</v>
      </c>
      <c r="H241">
        <v>34</v>
      </c>
      <c r="I241" s="183" t="s">
        <v>1098</v>
      </c>
      <c r="J241" s="183" t="s">
        <v>12052</v>
      </c>
      <c r="K241">
        <v>0</v>
      </c>
      <c r="L241">
        <v>34</v>
      </c>
    </row>
    <row r="242" spans="1:12">
      <c r="A242" s="183" t="s">
        <v>1355</v>
      </c>
      <c r="B242" s="183" t="s">
        <v>1356</v>
      </c>
      <c r="C242">
        <v>50202401</v>
      </c>
      <c r="D242">
        <v>42</v>
      </c>
      <c r="E242">
        <v>0</v>
      </c>
      <c r="F242">
        <v>0</v>
      </c>
      <c r="G242">
        <v>0</v>
      </c>
      <c r="H242">
        <v>42</v>
      </c>
      <c r="I242" s="183" t="s">
        <v>1098</v>
      </c>
      <c r="J242" s="183" t="s">
        <v>12058</v>
      </c>
      <c r="K242">
        <v>0</v>
      </c>
      <c r="L242">
        <v>42</v>
      </c>
    </row>
    <row r="243" spans="1:12">
      <c r="A243" s="183" t="s">
        <v>1677</v>
      </c>
      <c r="B243" s="183" t="s">
        <v>1678</v>
      </c>
      <c r="C243">
        <v>50203210</v>
      </c>
      <c r="D243">
        <v>100</v>
      </c>
      <c r="E243">
        <v>0</v>
      </c>
      <c r="F243">
        <v>0</v>
      </c>
      <c r="G243">
        <v>0</v>
      </c>
      <c r="H243">
        <v>100</v>
      </c>
      <c r="I243" s="183" t="s">
        <v>1098</v>
      </c>
      <c r="J243" s="183" t="s">
        <v>12061</v>
      </c>
      <c r="K243">
        <v>0</v>
      </c>
      <c r="L243">
        <v>100</v>
      </c>
    </row>
    <row r="244" spans="1:12">
      <c r="A244" s="183" t="s">
        <v>8079</v>
      </c>
      <c r="B244" s="183" t="s">
        <v>8080</v>
      </c>
      <c r="C244">
        <v>50203317</v>
      </c>
      <c r="D244">
        <v>50</v>
      </c>
      <c r="E244">
        <v>0</v>
      </c>
      <c r="F244">
        <v>0</v>
      </c>
      <c r="G244">
        <v>0</v>
      </c>
      <c r="H244">
        <v>50</v>
      </c>
      <c r="I244" s="183" t="s">
        <v>1098</v>
      </c>
      <c r="J244" s="183" t="s">
        <v>12056</v>
      </c>
      <c r="K244">
        <v>0</v>
      </c>
      <c r="L244">
        <v>50</v>
      </c>
    </row>
    <row r="245" spans="1:12">
      <c r="A245" s="183" t="s">
        <v>2493</v>
      </c>
      <c r="B245" s="183" t="s">
        <v>2494</v>
      </c>
      <c r="C245">
        <v>50205210</v>
      </c>
      <c r="D245">
        <v>93</v>
      </c>
      <c r="E245">
        <v>0</v>
      </c>
      <c r="F245">
        <v>0</v>
      </c>
      <c r="G245">
        <v>0</v>
      </c>
      <c r="H245">
        <v>93</v>
      </c>
      <c r="I245" s="183" t="s">
        <v>1098</v>
      </c>
      <c r="J245" s="183" t="s">
        <v>12056</v>
      </c>
      <c r="K245">
        <v>0</v>
      </c>
      <c r="L245">
        <v>93</v>
      </c>
    </row>
    <row r="246" spans="1:12">
      <c r="A246" s="183" t="s">
        <v>2191</v>
      </c>
      <c r="B246" s="183" t="s">
        <v>2192</v>
      </c>
      <c r="C246">
        <v>50205302</v>
      </c>
      <c r="D246">
        <v>49</v>
      </c>
      <c r="E246">
        <v>0</v>
      </c>
      <c r="F246">
        <v>0</v>
      </c>
      <c r="G246">
        <v>0</v>
      </c>
      <c r="H246">
        <v>49</v>
      </c>
      <c r="I246" s="183" t="s">
        <v>1098</v>
      </c>
      <c r="J246" s="183" t="s">
        <v>12050</v>
      </c>
      <c r="K246">
        <v>0</v>
      </c>
      <c r="L246">
        <v>49</v>
      </c>
    </row>
    <row r="247" spans="1:12">
      <c r="A247" s="183" t="s">
        <v>1854</v>
      </c>
      <c r="B247" s="183" t="s">
        <v>1855</v>
      </c>
      <c r="C247">
        <v>50205417</v>
      </c>
      <c r="D247">
        <v>38</v>
      </c>
      <c r="E247">
        <v>0</v>
      </c>
      <c r="F247">
        <v>0</v>
      </c>
      <c r="G247">
        <v>0</v>
      </c>
      <c r="H247">
        <v>38</v>
      </c>
      <c r="I247" s="183" t="s">
        <v>1098</v>
      </c>
      <c r="J247" s="183" t="s">
        <v>12052</v>
      </c>
      <c r="K247">
        <v>0</v>
      </c>
      <c r="L247">
        <v>38</v>
      </c>
    </row>
    <row r="248" spans="1:12">
      <c r="A248" s="183" t="s">
        <v>2189</v>
      </c>
      <c r="B248" s="183" t="s">
        <v>2190</v>
      </c>
      <c r="C248">
        <v>50206117</v>
      </c>
      <c r="D248">
        <v>39</v>
      </c>
      <c r="E248">
        <v>0</v>
      </c>
      <c r="F248">
        <v>0</v>
      </c>
      <c r="G248">
        <v>0</v>
      </c>
      <c r="H248">
        <v>39</v>
      </c>
      <c r="I248" s="183" t="s">
        <v>1098</v>
      </c>
      <c r="J248" s="183" t="s">
        <v>12052</v>
      </c>
      <c r="K248">
        <v>0</v>
      </c>
      <c r="L248">
        <v>39</v>
      </c>
    </row>
    <row r="249" spans="1:12">
      <c r="A249" s="183" t="s">
        <v>2016</v>
      </c>
      <c r="B249" s="183" t="s">
        <v>2017</v>
      </c>
      <c r="C249">
        <v>50206208</v>
      </c>
      <c r="D249">
        <v>49</v>
      </c>
      <c r="E249">
        <v>0</v>
      </c>
      <c r="F249">
        <v>0</v>
      </c>
      <c r="G249">
        <v>0</v>
      </c>
      <c r="H249">
        <v>49</v>
      </c>
      <c r="I249" s="183" t="s">
        <v>1098</v>
      </c>
      <c r="J249" s="183" t="s">
        <v>12057</v>
      </c>
      <c r="K249">
        <v>0</v>
      </c>
      <c r="L249">
        <v>49</v>
      </c>
    </row>
    <row r="250" spans="1:12">
      <c r="A250" s="183" t="s">
        <v>8290</v>
      </c>
      <c r="B250" s="183" t="s">
        <v>8291</v>
      </c>
      <c r="C250">
        <v>50206315</v>
      </c>
      <c r="D250">
        <v>49</v>
      </c>
      <c r="E250">
        <v>0</v>
      </c>
      <c r="F250">
        <v>0</v>
      </c>
      <c r="G250">
        <v>0</v>
      </c>
      <c r="H250">
        <v>49</v>
      </c>
      <c r="I250" s="183" t="s">
        <v>1098</v>
      </c>
      <c r="J250" s="183" t="s">
        <v>12055</v>
      </c>
      <c r="K250">
        <v>0</v>
      </c>
      <c r="L250">
        <v>49</v>
      </c>
    </row>
    <row r="251" spans="1:12">
      <c r="A251" s="183" t="s">
        <v>1359</v>
      </c>
      <c r="B251" s="183" t="s">
        <v>1360</v>
      </c>
      <c r="C251">
        <v>50207101</v>
      </c>
      <c r="D251">
        <v>49</v>
      </c>
      <c r="E251">
        <v>0</v>
      </c>
      <c r="F251">
        <v>0</v>
      </c>
      <c r="G251">
        <v>0</v>
      </c>
      <c r="H251">
        <v>49</v>
      </c>
      <c r="I251" s="183" t="s">
        <v>1098</v>
      </c>
      <c r="J251" s="183" t="s">
        <v>12058</v>
      </c>
      <c r="K251">
        <v>0</v>
      </c>
      <c r="L251">
        <v>49</v>
      </c>
    </row>
    <row r="252" spans="1:12">
      <c r="A252" s="183" t="s">
        <v>1839</v>
      </c>
      <c r="B252" s="183" t="s">
        <v>1840</v>
      </c>
      <c r="C252">
        <v>50207103</v>
      </c>
      <c r="D252">
        <v>29</v>
      </c>
      <c r="E252">
        <v>0</v>
      </c>
      <c r="F252">
        <v>0</v>
      </c>
      <c r="G252">
        <v>0</v>
      </c>
      <c r="H252">
        <v>29</v>
      </c>
      <c r="I252" s="183" t="s">
        <v>1098</v>
      </c>
      <c r="J252" s="183" t="s">
        <v>12056</v>
      </c>
      <c r="K252">
        <v>0</v>
      </c>
      <c r="L252">
        <v>29</v>
      </c>
    </row>
    <row r="253" spans="1:12">
      <c r="A253" s="183" t="s">
        <v>8258</v>
      </c>
      <c r="B253" s="183" t="s">
        <v>8259</v>
      </c>
      <c r="C253">
        <v>50207115</v>
      </c>
      <c r="D253">
        <v>50</v>
      </c>
      <c r="E253">
        <v>0</v>
      </c>
      <c r="F253">
        <v>0</v>
      </c>
      <c r="G253">
        <v>0</v>
      </c>
      <c r="H253">
        <v>50</v>
      </c>
      <c r="I253" s="183" t="s">
        <v>1098</v>
      </c>
      <c r="J253" s="183" t="s">
        <v>12056</v>
      </c>
      <c r="K253">
        <v>0</v>
      </c>
      <c r="L253">
        <v>50</v>
      </c>
    </row>
    <row r="254" spans="1:12">
      <c r="A254" s="183" t="s">
        <v>8396</v>
      </c>
      <c r="B254" s="183" t="s">
        <v>8397</v>
      </c>
      <c r="C254">
        <v>50207203</v>
      </c>
      <c r="D254">
        <v>40</v>
      </c>
      <c r="E254">
        <v>0</v>
      </c>
      <c r="F254">
        <v>0</v>
      </c>
      <c r="G254">
        <v>0</v>
      </c>
      <c r="H254">
        <v>40</v>
      </c>
      <c r="I254" s="183" t="s">
        <v>1098</v>
      </c>
      <c r="J254" s="183" t="s">
        <v>12060</v>
      </c>
      <c r="K254">
        <v>0</v>
      </c>
      <c r="L254">
        <v>40</v>
      </c>
    </row>
    <row r="255" spans="1:12">
      <c r="A255" s="183" t="s">
        <v>7993</v>
      </c>
      <c r="B255" s="183" t="s">
        <v>7994</v>
      </c>
      <c r="C255">
        <v>50207417</v>
      </c>
      <c r="D255">
        <v>50</v>
      </c>
      <c r="E255">
        <v>0</v>
      </c>
      <c r="F255">
        <v>0</v>
      </c>
      <c r="G255">
        <v>0</v>
      </c>
      <c r="H255">
        <v>50</v>
      </c>
      <c r="I255" s="183" t="s">
        <v>1098</v>
      </c>
      <c r="J255" s="183" t="s">
        <v>12050</v>
      </c>
      <c r="K255">
        <v>0</v>
      </c>
      <c r="L255">
        <v>50</v>
      </c>
    </row>
    <row r="256" spans="1:12">
      <c r="A256" s="183" t="s">
        <v>2184</v>
      </c>
      <c r="B256" s="183" t="s">
        <v>2185</v>
      </c>
      <c r="C256">
        <v>50208116</v>
      </c>
      <c r="D256">
        <v>47</v>
      </c>
      <c r="E256">
        <v>0</v>
      </c>
      <c r="F256">
        <v>0</v>
      </c>
      <c r="G256">
        <v>0</v>
      </c>
      <c r="H256">
        <v>47</v>
      </c>
      <c r="I256" s="183" t="s">
        <v>1098</v>
      </c>
      <c r="J256" s="183" t="s">
        <v>12055</v>
      </c>
      <c r="K256">
        <v>0</v>
      </c>
      <c r="L256">
        <v>47</v>
      </c>
    </row>
    <row r="257" spans="1:12">
      <c r="A257" s="183" t="s">
        <v>1692</v>
      </c>
      <c r="B257" s="183" t="s">
        <v>1693</v>
      </c>
      <c r="C257">
        <v>50208210</v>
      </c>
      <c r="D257">
        <v>49</v>
      </c>
      <c r="E257">
        <v>0</v>
      </c>
      <c r="F257">
        <v>0</v>
      </c>
      <c r="G257">
        <v>0</v>
      </c>
      <c r="H257">
        <v>49</v>
      </c>
      <c r="I257" s="183" t="s">
        <v>1098</v>
      </c>
      <c r="J257" s="183" t="s">
        <v>12054</v>
      </c>
      <c r="K257">
        <v>0</v>
      </c>
      <c r="L257">
        <v>49</v>
      </c>
    </row>
    <row r="258" spans="1:12">
      <c r="A258" s="183" t="s">
        <v>7985</v>
      </c>
      <c r="B258" s="183" t="s">
        <v>7986</v>
      </c>
      <c r="C258">
        <v>50208217</v>
      </c>
      <c r="D258">
        <v>48</v>
      </c>
      <c r="E258">
        <v>0</v>
      </c>
      <c r="F258">
        <v>0</v>
      </c>
      <c r="G258">
        <v>0</v>
      </c>
      <c r="H258">
        <v>48</v>
      </c>
      <c r="I258" s="183" t="s">
        <v>1098</v>
      </c>
      <c r="J258" s="183" t="s">
        <v>12056</v>
      </c>
      <c r="K258">
        <v>0</v>
      </c>
      <c r="L258">
        <v>48</v>
      </c>
    </row>
    <row r="259" spans="1:12">
      <c r="A259" s="183" t="s">
        <v>2314</v>
      </c>
      <c r="B259" s="183" t="s">
        <v>2315</v>
      </c>
      <c r="C259">
        <v>50208302</v>
      </c>
      <c r="D259">
        <v>49</v>
      </c>
      <c r="E259">
        <v>0</v>
      </c>
      <c r="F259">
        <v>0</v>
      </c>
      <c r="G259">
        <v>0</v>
      </c>
      <c r="H259">
        <v>49</v>
      </c>
      <c r="I259" s="183" t="s">
        <v>1098</v>
      </c>
      <c r="J259" s="183" t="s">
        <v>12055</v>
      </c>
      <c r="K259">
        <v>0</v>
      </c>
      <c r="L259">
        <v>49</v>
      </c>
    </row>
    <row r="260" spans="1:12">
      <c r="A260" s="183" t="s">
        <v>8021</v>
      </c>
      <c r="B260" s="183" t="s">
        <v>8022</v>
      </c>
      <c r="C260">
        <v>50208417</v>
      </c>
      <c r="D260">
        <v>39</v>
      </c>
      <c r="E260">
        <v>0</v>
      </c>
      <c r="F260">
        <v>0</v>
      </c>
      <c r="G260">
        <v>0</v>
      </c>
      <c r="H260">
        <v>39</v>
      </c>
      <c r="I260" s="183" t="s">
        <v>1098</v>
      </c>
      <c r="J260" s="183" t="s">
        <v>12055</v>
      </c>
      <c r="K260">
        <v>0</v>
      </c>
      <c r="L260">
        <v>39</v>
      </c>
    </row>
    <row r="261" spans="1:12">
      <c r="A261" s="183" t="s">
        <v>2193</v>
      </c>
      <c r="B261" s="183" t="s">
        <v>2194</v>
      </c>
      <c r="C261">
        <v>50208516</v>
      </c>
      <c r="D261">
        <v>62</v>
      </c>
      <c r="E261">
        <v>0</v>
      </c>
      <c r="F261">
        <v>0</v>
      </c>
      <c r="G261">
        <v>0</v>
      </c>
      <c r="H261">
        <v>62</v>
      </c>
      <c r="I261" s="183" t="s">
        <v>1098</v>
      </c>
      <c r="J261" s="183" t="s">
        <v>12055</v>
      </c>
      <c r="K261">
        <v>0</v>
      </c>
      <c r="L261">
        <v>62</v>
      </c>
    </row>
    <row r="262" spans="1:12">
      <c r="A262" s="183" t="s">
        <v>2323</v>
      </c>
      <c r="B262" s="183" t="s">
        <v>2324</v>
      </c>
      <c r="C262">
        <v>50209402</v>
      </c>
      <c r="D262">
        <v>36</v>
      </c>
      <c r="E262">
        <v>0</v>
      </c>
      <c r="F262">
        <v>0</v>
      </c>
      <c r="G262">
        <v>0</v>
      </c>
      <c r="H262">
        <v>36</v>
      </c>
      <c r="I262" s="183" t="s">
        <v>1098</v>
      </c>
      <c r="J262" s="183" t="s">
        <v>12052</v>
      </c>
      <c r="K262">
        <v>0</v>
      </c>
      <c r="L262">
        <v>36</v>
      </c>
    </row>
    <row r="263" spans="1:12">
      <c r="A263" s="183" t="s">
        <v>5078</v>
      </c>
      <c r="B263" s="183" t="s">
        <v>5079</v>
      </c>
      <c r="C263">
        <v>50209415</v>
      </c>
      <c r="D263">
        <v>50</v>
      </c>
      <c r="E263">
        <v>0</v>
      </c>
      <c r="F263">
        <v>0</v>
      </c>
      <c r="G263">
        <v>0</v>
      </c>
      <c r="H263">
        <v>50</v>
      </c>
      <c r="I263" s="183" t="s">
        <v>1098</v>
      </c>
      <c r="J263" s="183" t="s">
        <v>12056</v>
      </c>
      <c r="K263">
        <v>0</v>
      </c>
      <c r="L263">
        <v>50</v>
      </c>
    </row>
    <row r="264" spans="1:12">
      <c r="A264" s="183" t="s">
        <v>2182</v>
      </c>
      <c r="B264" s="183" t="s">
        <v>2183</v>
      </c>
      <c r="C264">
        <v>50210117</v>
      </c>
      <c r="D264">
        <v>33</v>
      </c>
      <c r="E264">
        <v>0</v>
      </c>
      <c r="F264">
        <v>0</v>
      </c>
      <c r="G264">
        <v>0</v>
      </c>
      <c r="H264">
        <v>33</v>
      </c>
      <c r="I264" s="183" t="s">
        <v>1098</v>
      </c>
      <c r="J264" s="183" t="s">
        <v>12058</v>
      </c>
      <c r="K264">
        <v>0</v>
      </c>
      <c r="L264">
        <v>33</v>
      </c>
    </row>
    <row r="265" spans="1:12">
      <c r="A265" s="183" t="s">
        <v>8507</v>
      </c>
      <c r="B265" s="183" t="s">
        <v>8508</v>
      </c>
      <c r="C265">
        <v>50210315</v>
      </c>
      <c r="D265">
        <v>65</v>
      </c>
      <c r="E265">
        <v>0</v>
      </c>
      <c r="F265">
        <v>0</v>
      </c>
      <c r="G265">
        <v>0</v>
      </c>
      <c r="H265">
        <v>65</v>
      </c>
      <c r="I265" s="183" t="s">
        <v>1098</v>
      </c>
      <c r="J265" s="183" t="s">
        <v>12056</v>
      </c>
      <c r="K265">
        <v>0</v>
      </c>
      <c r="L265">
        <v>65</v>
      </c>
    </row>
    <row r="266" spans="1:12">
      <c r="A266" s="183" t="s">
        <v>5076</v>
      </c>
      <c r="B266" s="183" t="s">
        <v>5077</v>
      </c>
      <c r="C266">
        <v>50210403</v>
      </c>
      <c r="D266">
        <v>49</v>
      </c>
      <c r="E266">
        <v>0</v>
      </c>
      <c r="F266">
        <v>0</v>
      </c>
      <c r="G266">
        <v>0</v>
      </c>
      <c r="H266">
        <v>49</v>
      </c>
      <c r="I266" s="183" t="s">
        <v>1098</v>
      </c>
      <c r="J266" s="183" t="s">
        <v>12055</v>
      </c>
      <c r="K266">
        <v>0</v>
      </c>
      <c r="L266">
        <v>49</v>
      </c>
    </row>
    <row r="267" spans="1:12">
      <c r="A267" s="183" t="s">
        <v>2312</v>
      </c>
      <c r="B267" s="183" t="s">
        <v>2313</v>
      </c>
      <c r="C267">
        <v>50210508</v>
      </c>
      <c r="D267">
        <v>49</v>
      </c>
      <c r="E267">
        <v>0</v>
      </c>
      <c r="F267">
        <v>0</v>
      </c>
      <c r="G267">
        <v>0</v>
      </c>
      <c r="H267">
        <v>49</v>
      </c>
      <c r="I267" s="183" t="s">
        <v>1098</v>
      </c>
      <c r="J267" s="183" t="s">
        <v>12052</v>
      </c>
      <c r="K267">
        <v>0</v>
      </c>
      <c r="L267">
        <v>49</v>
      </c>
    </row>
    <row r="268" spans="1:12">
      <c r="A268" s="183" t="s">
        <v>8292</v>
      </c>
      <c r="B268" s="183" t="s">
        <v>8293</v>
      </c>
      <c r="C268">
        <v>50211202</v>
      </c>
      <c r="D268">
        <v>49</v>
      </c>
      <c r="E268">
        <v>0</v>
      </c>
      <c r="F268">
        <v>0</v>
      </c>
      <c r="G268">
        <v>0</v>
      </c>
      <c r="H268">
        <v>49</v>
      </c>
      <c r="I268" s="183" t="s">
        <v>1098</v>
      </c>
      <c r="J268" s="183" t="s">
        <v>12061</v>
      </c>
      <c r="K268">
        <v>0</v>
      </c>
      <c r="L268">
        <v>49</v>
      </c>
    </row>
    <row r="269" spans="1:12">
      <c r="A269" s="183" t="s">
        <v>1688</v>
      </c>
      <c r="B269" s="183" t="s">
        <v>1689</v>
      </c>
      <c r="C269">
        <v>50212310</v>
      </c>
      <c r="D269">
        <v>26</v>
      </c>
      <c r="E269">
        <v>0</v>
      </c>
      <c r="F269">
        <v>0</v>
      </c>
      <c r="G269">
        <v>0</v>
      </c>
      <c r="H269">
        <v>26</v>
      </c>
      <c r="I269" s="183" t="s">
        <v>1098</v>
      </c>
      <c r="J269" s="183" t="s">
        <v>12057</v>
      </c>
      <c r="K269">
        <v>0</v>
      </c>
      <c r="L269">
        <v>26</v>
      </c>
    </row>
    <row r="270" spans="1:12">
      <c r="A270" s="183" t="s">
        <v>1679</v>
      </c>
      <c r="B270" s="183" t="s">
        <v>1680</v>
      </c>
      <c r="C270">
        <v>50212408</v>
      </c>
      <c r="D270">
        <v>20</v>
      </c>
      <c r="E270">
        <v>0</v>
      </c>
      <c r="F270">
        <v>0</v>
      </c>
      <c r="G270">
        <v>0</v>
      </c>
      <c r="H270">
        <v>20</v>
      </c>
      <c r="I270" s="183" t="s">
        <v>1098</v>
      </c>
      <c r="J270" s="183" t="s">
        <v>12054</v>
      </c>
      <c r="K270">
        <v>0</v>
      </c>
      <c r="L270">
        <v>20</v>
      </c>
    </row>
    <row r="271" spans="1:12">
      <c r="A271" s="183" t="s">
        <v>2485</v>
      </c>
      <c r="B271" s="183" t="s">
        <v>2486</v>
      </c>
      <c r="C271">
        <v>50213108</v>
      </c>
      <c r="D271">
        <v>49</v>
      </c>
      <c r="E271">
        <v>0</v>
      </c>
      <c r="F271">
        <v>0</v>
      </c>
      <c r="G271">
        <v>0</v>
      </c>
      <c r="H271">
        <v>49</v>
      </c>
      <c r="I271" s="183" t="s">
        <v>1098</v>
      </c>
      <c r="J271" s="183" t="s">
        <v>12056</v>
      </c>
      <c r="K271">
        <v>0</v>
      </c>
      <c r="L271">
        <v>49</v>
      </c>
    </row>
    <row r="272" spans="1:12">
      <c r="A272" s="183" t="s">
        <v>2487</v>
      </c>
      <c r="B272" s="183" t="s">
        <v>2488</v>
      </c>
      <c r="C272">
        <v>50213115</v>
      </c>
      <c r="D272">
        <v>25</v>
      </c>
      <c r="E272">
        <v>0</v>
      </c>
      <c r="F272">
        <v>0</v>
      </c>
      <c r="G272">
        <v>0</v>
      </c>
      <c r="H272">
        <v>25</v>
      </c>
      <c r="I272" s="183" t="s">
        <v>1098</v>
      </c>
      <c r="J272" s="183" t="s">
        <v>12054</v>
      </c>
      <c r="K272">
        <v>0</v>
      </c>
      <c r="L272">
        <v>25</v>
      </c>
    </row>
    <row r="273" spans="1:12">
      <c r="A273" s="183" t="s">
        <v>1865</v>
      </c>
      <c r="B273" s="183" t="s">
        <v>1866</v>
      </c>
      <c r="C273">
        <v>50213203</v>
      </c>
      <c r="D273">
        <v>49</v>
      </c>
      <c r="E273">
        <v>0</v>
      </c>
      <c r="F273">
        <v>0</v>
      </c>
      <c r="G273">
        <v>0</v>
      </c>
      <c r="H273">
        <v>49</v>
      </c>
      <c r="I273" s="183" t="s">
        <v>1098</v>
      </c>
      <c r="J273" s="183" t="s">
        <v>12056</v>
      </c>
      <c r="K273">
        <v>0</v>
      </c>
      <c r="L273">
        <v>49</v>
      </c>
    </row>
    <row r="274" spans="1:12">
      <c r="A274" s="183" t="s">
        <v>1666</v>
      </c>
      <c r="B274" s="183" t="s">
        <v>1667</v>
      </c>
      <c r="C274">
        <v>50213208</v>
      </c>
      <c r="D274">
        <v>38</v>
      </c>
      <c r="E274">
        <v>0</v>
      </c>
      <c r="F274">
        <v>0</v>
      </c>
      <c r="G274">
        <v>0</v>
      </c>
      <c r="H274">
        <v>38</v>
      </c>
      <c r="I274" s="183" t="s">
        <v>1098</v>
      </c>
      <c r="J274" s="183" t="s">
        <v>12060</v>
      </c>
      <c r="K274">
        <v>0</v>
      </c>
      <c r="L274">
        <v>38</v>
      </c>
    </row>
    <row r="275" spans="1:12">
      <c r="A275" s="183" t="s">
        <v>1673</v>
      </c>
      <c r="B275" s="183" t="s">
        <v>1674</v>
      </c>
      <c r="C275">
        <v>50214102</v>
      </c>
      <c r="D275">
        <v>47</v>
      </c>
      <c r="E275">
        <v>0</v>
      </c>
      <c r="F275">
        <v>0</v>
      </c>
      <c r="G275">
        <v>0</v>
      </c>
      <c r="H275">
        <v>47</v>
      </c>
      <c r="I275" s="183" t="s">
        <v>1098</v>
      </c>
      <c r="J275" s="183" t="s">
        <v>12056</v>
      </c>
      <c r="K275">
        <v>0</v>
      </c>
      <c r="L275">
        <v>47</v>
      </c>
    </row>
    <row r="276" spans="1:12">
      <c r="A276" s="183" t="s">
        <v>7176</v>
      </c>
      <c r="B276" s="183" t="s">
        <v>7177</v>
      </c>
      <c r="C276">
        <v>50217509</v>
      </c>
      <c r="D276">
        <v>20</v>
      </c>
      <c r="E276">
        <v>0</v>
      </c>
      <c r="F276">
        <v>0</v>
      </c>
      <c r="G276">
        <v>0</v>
      </c>
      <c r="H276">
        <v>20</v>
      </c>
      <c r="I276" s="183" t="s">
        <v>1017</v>
      </c>
      <c r="J276" s="183" t="s">
        <v>12050</v>
      </c>
      <c r="K276">
        <v>0</v>
      </c>
      <c r="L276">
        <v>20</v>
      </c>
    </row>
    <row r="277" spans="1:12">
      <c r="A277" s="183" t="s">
        <v>3044</v>
      </c>
      <c r="B277" s="183" t="s">
        <v>3045</v>
      </c>
      <c r="C277">
        <v>50220518</v>
      </c>
      <c r="D277">
        <v>24</v>
      </c>
      <c r="E277">
        <v>0</v>
      </c>
      <c r="F277">
        <v>0</v>
      </c>
      <c r="G277">
        <v>0</v>
      </c>
      <c r="H277">
        <v>24</v>
      </c>
      <c r="I277" s="183" t="s">
        <v>1017</v>
      </c>
      <c r="J277" s="183" t="s">
        <v>12055</v>
      </c>
      <c r="K277">
        <v>0</v>
      </c>
      <c r="L277">
        <v>24</v>
      </c>
    </row>
    <row r="278" spans="1:12">
      <c r="A278" s="183" t="s">
        <v>7018</v>
      </c>
      <c r="B278" s="183" t="s">
        <v>7019</v>
      </c>
      <c r="C278">
        <v>50223209</v>
      </c>
      <c r="D278">
        <v>23</v>
      </c>
      <c r="E278">
        <v>0</v>
      </c>
      <c r="F278">
        <v>0</v>
      </c>
      <c r="G278">
        <v>0</v>
      </c>
      <c r="H278">
        <v>23</v>
      </c>
      <c r="I278" s="183" t="s">
        <v>1017</v>
      </c>
      <c r="J278" s="183" t="s">
        <v>12055</v>
      </c>
      <c r="K278">
        <v>0</v>
      </c>
      <c r="L278">
        <v>23</v>
      </c>
    </row>
    <row r="279" spans="1:12">
      <c r="A279" s="183" t="s">
        <v>7272</v>
      </c>
      <c r="B279" s="183" t="s">
        <v>7273</v>
      </c>
      <c r="C279">
        <v>50224409</v>
      </c>
      <c r="D279">
        <v>21</v>
      </c>
      <c r="E279">
        <v>0</v>
      </c>
      <c r="F279">
        <v>0</v>
      </c>
      <c r="G279">
        <v>0</v>
      </c>
      <c r="H279">
        <v>21</v>
      </c>
      <c r="I279" s="183" t="s">
        <v>1017</v>
      </c>
      <c r="J279" s="183" t="s">
        <v>12052</v>
      </c>
      <c r="K279">
        <v>0</v>
      </c>
      <c r="L279">
        <v>21</v>
      </c>
    </row>
    <row r="280" spans="1:12">
      <c r="A280" s="183" t="s">
        <v>7062</v>
      </c>
      <c r="B280" s="183" t="s">
        <v>7063</v>
      </c>
      <c r="C280">
        <v>50226209</v>
      </c>
      <c r="D280">
        <v>31</v>
      </c>
      <c r="E280">
        <v>0</v>
      </c>
      <c r="F280">
        <v>0</v>
      </c>
      <c r="G280">
        <v>0</v>
      </c>
      <c r="H280">
        <v>31</v>
      </c>
      <c r="I280" s="183" t="s">
        <v>1017</v>
      </c>
      <c r="J280" s="183" t="s">
        <v>12061</v>
      </c>
      <c r="K280">
        <v>0</v>
      </c>
      <c r="L280">
        <v>31</v>
      </c>
    </row>
    <row r="281" spans="1:12">
      <c r="A281" s="183" t="s">
        <v>6974</v>
      </c>
      <c r="B281" s="183" t="s">
        <v>6975</v>
      </c>
      <c r="C281">
        <v>50230109</v>
      </c>
      <c r="D281">
        <v>29</v>
      </c>
      <c r="E281">
        <v>0</v>
      </c>
      <c r="F281">
        <v>0</v>
      </c>
      <c r="G281">
        <v>0</v>
      </c>
      <c r="H281">
        <v>29</v>
      </c>
      <c r="I281" s="183" t="s">
        <v>1017</v>
      </c>
      <c r="J281" s="183" t="s">
        <v>12067</v>
      </c>
      <c r="K281">
        <v>0</v>
      </c>
      <c r="L281">
        <v>29</v>
      </c>
    </row>
    <row r="282" spans="1:12">
      <c r="A282" s="183" t="s">
        <v>6912</v>
      </c>
      <c r="B282" s="183" t="s">
        <v>6913</v>
      </c>
      <c r="C282">
        <v>50232109</v>
      </c>
      <c r="D282">
        <v>28</v>
      </c>
      <c r="E282">
        <v>0</v>
      </c>
      <c r="F282">
        <v>0</v>
      </c>
      <c r="G282">
        <v>0</v>
      </c>
      <c r="H282">
        <v>28</v>
      </c>
      <c r="I282" s="183" t="s">
        <v>1017</v>
      </c>
      <c r="J282" s="183" t="s">
        <v>12060</v>
      </c>
      <c r="K282">
        <v>0</v>
      </c>
      <c r="L282">
        <v>28</v>
      </c>
    </row>
    <row r="283" spans="1:12">
      <c r="A283" s="183" t="s">
        <v>3748</v>
      </c>
      <c r="B283" s="183" t="s">
        <v>3749</v>
      </c>
      <c r="C283">
        <v>50232218</v>
      </c>
      <c r="D283">
        <v>21</v>
      </c>
      <c r="E283">
        <v>0</v>
      </c>
      <c r="F283">
        <v>0</v>
      </c>
      <c r="G283">
        <v>0</v>
      </c>
      <c r="H283">
        <v>21</v>
      </c>
      <c r="I283" s="183" t="s">
        <v>1017</v>
      </c>
      <c r="J283" s="183" t="s">
        <v>12057</v>
      </c>
      <c r="K283">
        <v>0</v>
      </c>
      <c r="L283">
        <v>21</v>
      </c>
    </row>
    <row r="284" spans="1:12">
      <c r="A284" s="183" t="s">
        <v>5010</v>
      </c>
      <c r="B284" s="183" t="s">
        <v>5011</v>
      </c>
      <c r="C284">
        <v>50232418</v>
      </c>
      <c r="D284">
        <v>2</v>
      </c>
      <c r="E284">
        <v>0</v>
      </c>
      <c r="F284">
        <v>0</v>
      </c>
      <c r="G284">
        <v>0</v>
      </c>
      <c r="H284">
        <v>2</v>
      </c>
      <c r="I284" s="183" t="s">
        <v>1017</v>
      </c>
      <c r="J284" s="183" t="s">
        <v>12063</v>
      </c>
      <c r="K284">
        <v>0</v>
      </c>
      <c r="L284">
        <v>2</v>
      </c>
    </row>
    <row r="285" spans="1:12">
      <c r="A285" s="183" t="s">
        <v>7098</v>
      </c>
      <c r="B285" s="183" t="s">
        <v>7099</v>
      </c>
      <c r="C285">
        <v>50234309</v>
      </c>
      <c r="D285">
        <v>29</v>
      </c>
      <c r="E285">
        <v>0</v>
      </c>
      <c r="F285">
        <v>0</v>
      </c>
      <c r="G285">
        <v>0</v>
      </c>
      <c r="H285">
        <v>29</v>
      </c>
      <c r="I285" s="183" t="s">
        <v>1017</v>
      </c>
      <c r="J285" s="183" t="s">
        <v>12054</v>
      </c>
      <c r="K285">
        <v>0</v>
      </c>
      <c r="L285">
        <v>29</v>
      </c>
    </row>
    <row r="286" spans="1:12">
      <c r="A286" s="183" t="s">
        <v>7064</v>
      </c>
      <c r="B286" s="183" t="s">
        <v>7065</v>
      </c>
      <c r="C286">
        <v>50238309</v>
      </c>
      <c r="D286">
        <v>23</v>
      </c>
      <c r="E286">
        <v>0</v>
      </c>
      <c r="F286">
        <v>0</v>
      </c>
      <c r="G286">
        <v>0</v>
      </c>
      <c r="H286">
        <v>23</v>
      </c>
      <c r="I286" s="183" t="s">
        <v>1017</v>
      </c>
      <c r="J286" s="183" t="s">
        <v>12061</v>
      </c>
      <c r="K286">
        <v>0</v>
      </c>
      <c r="L286">
        <v>23</v>
      </c>
    </row>
    <row r="287" spans="1:12">
      <c r="A287" s="183" t="s">
        <v>7219</v>
      </c>
      <c r="B287" s="183" t="s">
        <v>7220</v>
      </c>
      <c r="C287">
        <v>50238409</v>
      </c>
      <c r="D287">
        <v>26</v>
      </c>
      <c r="E287">
        <v>0</v>
      </c>
      <c r="F287">
        <v>0</v>
      </c>
      <c r="G287">
        <v>0</v>
      </c>
      <c r="H287">
        <v>26</v>
      </c>
      <c r="I287" s="183" t="s">
        <v>1017</v>
      </c>
      <c r="J287" s="183" t="s">
        <v>12059</v>
      </c>
      <c r="K287">
        <v>0</v>
      </c>
      <c r="L287">
        <v>26</v>
      </c>
    </row>
    <row r="288" spans="1:12">
      <c r="A288" s="183" t="s">
        <v>8226</v>
      </c>
      <c r="B288" s="183" t="s">
        <v>8227</v>
      </c>
      <c r="C288">
        <v>50200517</v>
      </c>
      <c r="D288">
        <v>50</v>
      </c>
      <c r="E288">
        <v>0</v>
      </c>
      <c r="F288">
        <v>0</v>
      </c>
      <c r="G288">
        <v>0</v>
      </c>
      <c r="H288">
        <v>50</v>
      </c>
      <c r="I288" s="183" t="s">
        <v>1098</v>
      </c>
      <c r="J288" s="183" t="s">
        <v>12052</v>
      </c>
      <c r="K288">
        <v>0</v>
      </c>
      <c r="L288">
        <v>50</v>
      </c>
    </row>
    <row r="289" spans="1:12">
      <c r="A289" s="183" t="s">
        <v>6940</v>
      </c>
      <c r="B289" s="183" t="s">
        <v>6941</v>
      </c>
      <c r="C289">
        <v>50201102</v>
      </c>
      <c r="D289">
        <v>49</v>
      </c>
      <c r="E289">
        <v>0</v>
      </c>
      <c r="F289">
        <v>0</v>
      </c>
      <c r="G289">
        <v>0</v>
      </c>
      <c r="H289">
        <v>49</v>
      </c>
      <c r="I289" s="183" t="s">
        <v>1098</v>
      </c>
      <c r="J289" s="183" t="s">
        <v>12057</v>
      </c>
      <c r="K289">
        <v>0</v>
      </c>
      <c r="L289">
        <v>49</v>
      </c>
    </row>
    <row r="290" spans="1:12">
      <c r="A290" s="183" t="s">
        <v>2846</v>
      </c>
      <c r="B290" s="183" t="s">
        <v>2847</v>
      </c>
      <c r="C290">
        <v>50201116</v>
      </c>
      <c r="D290">
        <v>50</v>
      </c>
      <c r="E290">
        <v>0</v>
      </c>
      <c r="F290">
        <v>0</v>
      </c>
      <c r="G290">
        <v>0</v>
      </c>
      <c r="H290">
        <v>50</v>
      </c>
      <c r="I290" s="183" t="s">
        <v>1098</v>
      </c>
      <c r="J290" s="183" t="s">
        <v>12060</v>
      </c>
      <c r="K290">
        <v>0</v>
      </c>
      <c r="L290">
        <v>50</v>
      </c>
    </row>
    <row r="291" spans="1:12">
      <c r="A291" s="183" t="s">
        <v>2900</v>
      </c>
      <c r="B291" s="183" t="s">
        <v>2901</v>
      </c>
      <c r="C291">
        <v>50201208</v>
      </c>
      <c r="D291">
        <v>33</v>
      </c>
      <c r="E291">
        <v>0</v>
      </c>
      <c r="F291">
        <v>0</v>
      </c>
      <c r="G291">
        <v>0</v>
      </c>
      <c r="H291">
        <v>33</v>
      </c>
      <c r="I291" s="183" t="s">
        <v>1098</v>
      </c>
      <c r="J291" s="183" t="s">
        <v>12060</v>
      </c>
      <c r="K291">
        <v>0</v>
      </c>
      <c r="L291">
        <v>33</v>
      </c>
    </row>
    <row r="292" spans="1:12">
      <c r="A292" s="183" t="s">
        <v>2893</v>
      </c>
      <c r="B292" s="183" t="s">
        <v>2894</v>
      </c>
      <c r="C292">
        <v>50201215</v>
      </c>
      <c r="D292">
        <v>69</v>
      </c>
      <c r="E292">
        <v>0</v>
      </c>
      <c r="F292">
        <v>0</v>
      </c>
      <c r="G292">
        <v>0</v>
      </c>
      <c r="H292">
        <v>69</v>
      </c>
      <c r="I292" s="183" t="s">
        <v>1098</v>
      </c>
      <c r="J292" s="183" t="s">
        <v>12054</v>
      </c>
      <c r="K292">
        <v>0</v>
      </c>
      <c r="L292">
        <v>69</v>
      </c>
    </row>
    <row r="293" spans="1:12">
      <c r="A293" s="183" t="s">
        <v>2868</v>
      </c>
      <c r="B293" s="183" t="s">
        <v>2869</v>
      </c>
      <c r="C293">
        <v>50202201</v>
      </c>
      <c r="D293">
        <v>43</v>
      </c>
      <c r="E293">
        <v>0</v>
      </c>
      <c r="F293">
        <v>0</v>
      </c>
      <c r="G293">
        <v>0</v>
      </c>
      <c r="H293">
        <v>43</v>
      </c>
      <c r="I293" s="183" t="s">
        <v>1098</v>
      </c>
      <c r="J293" s="183" t="s">
        <v>12052</v>
      </c>
      <c r="K293">
        <v>0</v>
      </c>
      <c r="L293">
        <v>43</v>
      </c>
    </row>
    <row r="294" spans="1:12">
      <c r="A294" s="183" t="s">
        <v>2887</v>
      </c>
      <c r="B294" s="183" t="s">
        <v>2888</v>
      </c>
      <c r="C294">
        <v>50202203</v>
      </c>
      <c r="D294">
        <v>49</v>
      </c>
      <c r="E294">
        <v>0</v>
      </c>
      <c r="F294">
        <v>0</v>
      </c>
      <c r="G294">
        <v>0</v>
      </c>
      <c r="H294">
        <v>49</v>
      </c>
      <c r="I294" s="183" t="s">
        <v>1098</v>
      </c>
      <c r="J294" s="183" t="s">
        <v>12052</v>
      </c>
      <c r="K294">
        <v>0</v>
      </c>
      <c r="L294">
        <v>49</v>
      </c>
    </row>
    <row r="295" spans="1:12">
      <c r="A295" s="183" t="s">
        <v>2838</v>
      </c>
      <c r="B295" s="183" t="s">
        <v>2839</v>
      </c>
      <c r="C295">
        <v>50202208</v>
      </c>
      <c r="D295">
        <v>34</v>
      </c>
      <c r="E295">
        <v>0</v>
      </c>
      <c r="F295">
        <v>0</v>
      </c>
      <c r="G295">
        <v>0</v>
      </c>
      <c r="H295">
        <v>34</v>
      </c>
      <c r="I295" s="183" t="s">
        <v>1098</v>
      </c>
      <c r="J295" s="183" t="s">
        <v>12061</v>
      </c>
      <c r="K295">
        <v>0</v>
      </c>
      <c r="L295">
        <v>34</v>
      </c>
    </row>
    <row r="296" spans="1:12">
      <c r="A296" s="183" t="s">
        <v>2913</v>
      </c>
      <c r="B296" s="183" t="s">
        <v>2914</v>
      </c>
      <c r="C296">
        <v>50202215</v>
      </c>
      <c r="D296">
        <v>36</v>
      </c>
      <c r="E296">
        <v>0</v>
      </c>
      <c r="F296">
        <v>0</v>
      </c>
      <c r="G296">
        <v>0</v>
      </c>
      <c r="H296">
        <v>36</v>
      </c>
      <c r="I296" s="183" t="s">
        <v>1098</v>
      </c>
      <c r="J296" s="183" t="s">
        <v>12067</v>
      </c>
      <c r="K296">
        <v>0</v>
      </c>
      <c r="L296">
        <v>36</v>
      </c>
    </row>
    <row r="297" spans="1:12">
      <c r="A297" s="183" t="s">
        <v>2918</v>
      </c>
      <c r="B297" s="183" t="s">
        <v>2919</v>
      </c>
      <c r="C297">
        <v>50202502</v>
      </c>
      <c r="D297">
        <v>32</v>
      </c>
      <c r="E297">
        <v>0</v>
      </c>
      <c r="F297">
        <v>0</v>
      </c>
      <c r="G297">
        <v>0</v>
      </c>
      <c r="H297">
        <v>32</v>
      </c>
      <c r="I297" s="183" t="s">
        <v>1098</v>
      </c>
      <c r="J297" s="183" t="s">
        <v>12052</v>
      </c>
      <c r="K297">
        <v>0</v>
      </c>
      <c r="L297">
        <v>32</v>
      </c>
    </row>
    <row r="298" spans="1:12">
      <c r="A298" s="183" t="s">
        <v>2836</v>
      </c>
      <c r="B298" s="183" t="s">
        <v>2837</v>
      </c>
      <c r="C298">
        <v>50202510</v>
      </c>
      <c r="D298">
        <v>69</v>
      </c>
      <c r="E298">
        <v>0</v>
      </c>
      <c r="F298">
        <v>0</v>
      </c>
      <c r="G298">
        <v>0</v>
      </c>
      <c r="H298">
        <v>69</v>
      </c>
      <c r="I298" s="183" t="s">
        <v>1098</v>
      </c>
      <c r="J298" s="183" t="s">
        <v>12057</v>
      </c>
      <c r="K298">
        <v>0</v>
      </c>
      <c r="L298">
        <v>69</v>
      </c>
    </row>
    <row r="299" spans="1:12">
      <c r="A299" s="183" t="s">
        <v>8443</v>
      </c>
      <c r="B299" s="183" t="s">
        <v>8444</v>
      </c>
      <c r="C299">
        <v>50203115</v>
      </c>
      <c r="D299">
        <v>50</v>
      </c>
      <c r="E299">
        <v>0</v>
      </c>
      <c r="F299">
        <v>0</v>
      </c>
      <c r="G299">
        <v>0</v>
      </c>
      <c r="H299">
        <v>50</v>
      </c>
      <c r="I299" s="183" t="s">
        <v>1098</v>
      </c>
      <c r="J299" s="183" t="s">
        <v>12057</v>
      </c>
      <c r="K299">
        <v>0</v>
      </c>
      <c r="L299">
        <v>50</v>
      </c>
    </row>
    <row r="300" spans="1:12">
      <c r="A300" s="183" t="s">
        <v>7983</v>
      </c>
      <c r="B300" s="183" t="s">
        <v>7984</v>
      </c>
      <c r="C300">
        <v>50203417</v>
      </c>
      <c r="D300">
        <v>50</v>
      </c>
      <c r="E300">
        <v>0</v>
      </c>
      <c r="F300">
        <v>0</v>
      </c>
      <c r="G300">
        <v>0</v>
      </c>
      <c r="H300">
        <v>50</v>
      </c>
      <c r="I300" s="183" t="s">
        <v>1098</v>
      </c>
      <c r="J300" s="183" t="s">
        <v>12060</v>
      </c>
      <c r="K300">
        <v>0</v>
      </c>
      <c r="L300">
        <v>50</v>
      </c>
    </row>
    <row r="301" spans="1:12">
      <c r="A301" s="183" t="s">
        <v>8224</v>
      </c>
      <c r="B301" s="183" t="s">
        <v>8225</v>
      </c>
      <c r="C301">
        <v>50204115</v>
      </c>
      <c r="D301">
        <v>28</v>
      </c>
      <c r="E301">
        <v>0</v>
      </c>
      <c r="F301">
        <v>0</v>
      </c>
      <c r="G301">
        <v>0</v>
      </c>
      <c r="H301">
        <v>28</v>
      </c>
      <c r="I301" s="183" t="s">
        <v>1098</v>
      </c>
      <c r="J301" s="183" t="s">
        <v>12059</v>
      </c>
      <c r="K301">
        <v>0</v>
      </c>
      <c r="L301">
        <v>28</v>
      </c>
    </row>
    <row r="302" spans="1:12">
      <c r="A302" s="183" t="s">
        <v>2802</v>
      </c>
      <c r="B302" s="183" t="s">
        <v>2803</v>
      </c>
      <c r="C302">
        <v>50204310</v>
      </c>
      <c r="D302">
        <v>50</v>
      </c>
      <c r="E302">
        <v>0</v>
      </c>
      <c r="F302">
        <v>0</v>
      </c>
      <c r="G302">
        <v>0</v>
      </c>
      <c r="H302">
        <v>50</v>
      </c>
      <c r="I302" s="183" t="s">
        <v>1098</v>
      </c>
      <c r="J302" s="183" t="s">
        <v>12052</v>
      </c>
      <c r="K302">
        <v>0</v>
      </c>
      <c r="L302">
        <v>50</v>
      </c>
    </row>
    <row r="303" spans="1:12">
      <c r="A303" s="183" t="s">
        <v>8300</v>
      </c>
      <c r="B303" s="183" t="s">
        <v>8301</v>
      </c>
      <c r="C303">
        <v>50204316</v>
      </c>
      <c r="D303">
        <v>50</v>
      </c>
      <c r="E303">
        <v>0</v>
      </c>
      <c r="F303">
        <v>0</v>
      </c>
      <c r="G303">
        <v>0</v>
      </c>
      <c r="H303">
        <v>50</v>
      </c>
      <c r="I303" s="183" t="s">
        <v>1098</v>
      </c>
      <c r="J303" s="183" t="s">
        <v>12058</v>
      </c>
      <c r="K303">
        <v>0</v>
      </c>
      <c r="L303">
        <v>50</v>
      </c>
    </row>
    <row r="304" spans="1:12">
      <c r="A304" s="183" t="s">
        <v>2816</v>
      </c>
      <c r="B304" s="183" t="s">
        <v>2817</v>
      </c>
      <c r="C304">
        <v>50205202</v>
      </c>
      <c r="D304">
        <v>49</v>
      </c>
      <c r="E304">
        <v>0</v>
      </c>
      <c r="F304">
        <v>0</v>
      </c>
      <c r="G304">
        <v>0</v>
      </c>
      <c r="H304">
        <v>49</v>
      </c>
      <c r="I304" s="183" t="s">
        <v>1098</v>
      </c>
      <c r="J304" s="183" t="s">
        <v>12058</v>
      </c>
      <c r="K304">
        <v>0</v>
      </c>
      <c r="L304">
        <v>49</v>
      </c>
    </row>
    <row r="305" spans="1:12">
      <c r="A305" s="183" t="s">
        <v>8900</v>
      </c>
      <c r="B305" s="183" t="s">
        <v>8901</v>
      </c>
      <c r="C305">
        <v>50205310</v>
      </c>
      <c r="D305">
        <v>22</v>
      </c>
      <c r="E305">
        <v>0</v>
      </c>
      <c r="F305">
        <v>0</v>
      </c>
      <c r="G305">
        <v>0</v>
      </c>
      <c r="H305">
        <v>22</v>
      </c>
      <c r="I305" s="183" t="s">
        <v>1098</v>
      </c>
      <c r="J305" s="183" t="s">
        <v>12066</v>
      </c>
      <c r="K305">
        <v>0</v>
      </c>
      <c r="L305">
        <v>22</v>
      </c>
    </row>
    <row r="306" spans="1:12">
      <c r="A306" s="183" t="s">
        <v>2827</v>
      </c>
      <c r="B306" s="183" t="s">
        <v>2828</v>
      </c>
      <c r="C306">
        <v>50205401</v>
      </c>
      <c r="D306">
        <v>54</v>
      </c>
      <c r="E306">
        <v>0</v>
      </c>
      <c r="F306">
        <v>0</v>
      </c>
      <c r="G306">
        <v>0</v>
      </c>
      <c r="H306">
        <v>54</v>
      </c>
      <c r="I306" s="183" t="s">
        <v>1098</v>
      </c>
      <c r="J306" s="183" t="s">
        <v>12050</v>
      </c>
      <c r="K306">
        <v>0</v>
      </c>
      <c r="L306">
        <v>54</v>
      </c>
    </row>
    <row r="307" spans="1:12">
      <c r="A307" s="183" t="s">
        <v>6922</v>
      </c>
      <c r="B307" s="183" t="s">
        <v>6923</v>
      </c>
      <c r="C307">
        <v>50206102</v>
      </c>
      <c r="D307">
        <v>48</v>
      </c>
      <c r="E307">
        <v>0</v>
      </c>
      <c r="F307">
        <v>0</v>
      </c>
      <c r="G307">
        <v>0</v>
      </c>
      <c r="H307">
        <v>48</v>
      </c>
      <c r="I307" s="183" t="s">
        <v>1098</v>
      </c>
      <c r="J307" s="183" t="s">
        <v>12055</v>
      </c>
      <c r="K307">
        <v>0</v>
      </c>
      <c r="L307">
        <v>48</v>
      </c>
    </row>
    <row r="308" spans="1:12">
      <c r="A308" s="183" t="s">
        <v>8081</v>
      </c>
      <c r="B308" s="183" t="s">
        <v>8082</v>
      </c>
      <c r="C308">
        <v>50206417</v>
      </c>
      <c r="D308">
        <v>49</v>
      </c>
      <c r="E308">
        <v>0</v>
      </c>
      <c r="F308">
        <v>0</v>
      </c>
      <c r="G308">
        <v>0</v>
      </c>
      <c r="H308">
        <v>49</v>
      </c>
      <c r="I308" s="183" t="s">
        <v>1098</v>
      </c>
      <c r="J308" s="183" t="s">
        <v>12052</v>
      </c>
      <c r="K308">
        <v>0</v>
      </c>
      <c r="L308">
        <v>49</v>
      </c>
    </row>
    <row r="309" spans="1:12">
      <c r="A309" s="183" t="s">
        <v>2822</v>
      </c>
      <c r="B309" s="183" t="s">
        <v>2823</v>
      </c>
      <c r="C309">
        <v>50207216</v>
      </c>
      <c r="D309">
        <v>48</v>
      </c>
      <c r="E309">
        <v>0</v>
      </c>
      <c r="F309">
        <v>0</v>
      </c>
      <c r="G309">
        <v>0</v>
      </c>
      <c r="H309">
        <v>48</v>
      </c>
      <c r="I309" s="183" t="s">
        <v>1098</v>
      </c>
      <c r="J309" s="183" t="s">
        <v>12055</v>
      </c>
      <c r="K309">
        <v>0</v>
      </c>
      <c r="L309">
        <v>48</v>
      </c>
    </row>
    <row r="310" spans="1:12">
      <c r="A310" s="183" t="s">
        <v>2840</v>
      </c>
      <c r="B310" s="183" t="s">
        <v>2841</v>
      </c>
      <c r="C310">
        <v>50207308</v>
      </c>
      <c r="D310">
        <v>50</v>
      </c>
      <c r="E310">
        <v>0</v>
      </c>
      <c r="F310">
        <v>0</v>
      </c>
      <c r="G310">
        <v>0</v>
      </c>
      <c r="H310">
        <v>50</v>
      </c>
      <c r="I310" s="183" t="s">
        <v>1098</v>
      </c>
      <c r="J310" s="183" t="s">
        <v>12057</v>
      </c>
      <c r="K310">
        <v>0</v>
      </c>
      <c r="L310">
        <v>50</v>
      </c>
    </row>
    <row r="311" spans="1:12">
      <c r="A311" s="183" t="s">
        <v>8445</v>
      </c>
      <c r="B311" s="183" t="s">
        <v>8446</v>
      </c>
      <c r="C311">
        <v>50207316</v>
      </c>
      <c r="D311">
        <v>50</v>
      </c>
      <c r="E311">
        <v>0</v>
      </c>
      <c r="F311">
        <v>0</v>
      </c>
      <c r="G311">
        <v>0</v>
      </c>
      <c r="H311">
        <v>50</v>
      </c>
      <c r="I311" s="183" t="s">
        <v>1098</v>
      </c>
      <c r="J311" s="183" t="s">
        <v>12056</v>
      </c>
      <c r="K311">
        <v>0</v>
      </c>
      <c r="L311">
        <v>50</v>
      </c>
    </row>
    <row r="312" spans="1:12">
      <c r="A312" s="183" t="s">
        <v>2831</v>
      </c>
      <c r="B312" s="183" t="s">
        <v>2832</v>
      </c>
      <c r="C312">
        <v>50208110</v>
      </c>
      <c r="D312">
        <v>50</v>
      </c>
      <c r="E312">
        <v>0</v>
      </c>
      <c r="F312">
        <v>0</v>
      </c>
      <c r="G312">
        <v>0</v>
      </c>
      <c r="H312">
        <v>50</v>
      </c>
      <c r="I312" s="183" t="s">
        <v>1098</v>
      </c>
      <c r="J312" s="183" t="s">
        <v>12054</v>
      </c>
      <c r="K312">
        <v>0</v>
      </c>
      <c r="L312">
        <v>50</v>
      </c>
    </row>
    <row r="313" spans="1:12">
      <c r="A313" s="183" t="s">
        <v>2880</v>
      </c>
      <c r="B313" s="183" t="s">
        <v>2881</v>
      </c>
      <c r="C313">
        <v>50208117</v>
      </c>
      <c r="D313">
        <v>25</v>
      </c>
      <c r="E313">
        <v>0</v>
      </c>
      <c r="F313">
        <v>0</v>
      </c>
      <c r="G313">
        <v>0</v>
      </c>
      <c r="H313">
        <v>25</v>
      </c>
      <c r="I313" s="183" t="s">
        <v>1098</v>
      </c>
      <c r="J313" s="183" t="s">
        <v>12056</v>
      </c>
      <c r="K313">
        <v>0</v>
      </c>
      <c r="L313">
        <v>25</v>
      </c>
    </row>
    <row r="314" spans="1:12">
      <c r="A314" s="183" t="s">
        <v>2776</v>
      </c>
      <c r="B314" s="183" t="s">
        <v>2777</v>
      </c>
      <c r="C314">
        <v>50209215</v>
      </c>
      <c r="D314">
        <v>49</v>
      </c>
      <c r="E314">
        <v>0</v>
      </c>
      <c r="F314">
        <v>0</v>
      </c>
      <c r="G314">
        <v>0</v>
      </c>
      <c r="H314">
        <v>49</v>
      </c>
      <c r="I314" s="183" t="s">
        <v>1098</v>
      </c>
      <c r="J314" s="183" t="s">
        <v>12054</v>
      </c>
      <c r="K314">
        <v>0</v>
      </c>
      <c r="L314">
        <v>49</v>
      </c>
    </row>
    <row r="315" spans="1:12">
      <c r="A315" s="183" t="s">
        <v>2851</v>
      </c>
      <c r="B315" s="183" t="s">
        <v>2852</v>
      </c>
      <c r="C315">
        <v>50210215</v>
      </c>
      <c r="D315">
        <v>50</v>
      </c>
      <c r="E315">
        <v>0</v>
      </c>
      <c r="F315">
        <v>0</v>
      </c>
      <c r="G315">
        <v>0</v>
      </c>
      <c r="H315">
        <v>50</v>
      </c>
      <c r="I315" s="183" t="s">
        <v>1098</v>
      </c>
      <c r="J315" s="183" t="s">
        <v>12050</v>
      </c>
      <c r="K315">
        <v>0</v>
      </c>
      <c r="L315">
        <v>50</v>
      </c>
    </row>
    <row r="316" spans="1:12">
      <c r="A316" s="183" t="s">
        <v>2745</v>
      </c>
      <c r="B316" s="183" t="s">
        <v>2746</v>
      </c>
      <c r="C316">
        <v>50210408</v>
      </c>
      <c r="D316">
        <v>50</v>
      </c>
      <c r="E316">
        <v>0</v>
      </c>
      <c r="F316">
        <v>0</v>
      </c>
      <c r="G316">
        <v>0</v>
      </c>
      <c r="H316">
        <v>50</v>
      </c>
      <c r="I316" s="183" t="s">
        <v>1098</v>
      </c>
      <c r="J316" s="183" t="s">
        <v>12061</v>
      </c>
      <c r="K316">
        <v>0</v>
      </c>
      <c r="L316">
        <v>50</v>
      </c>
    </row>
    <row r="317" spans="1:12">
      <c r="A317" s="183" t="s">
        <v>6916</v>
      </c>
      <c r="B317" s="183" t="s">
        <v>6917</v>
      </c>
      <c r="C317">
        <v>50211102</v>
      </c>
      <c r="D317">
        <v>17</v>
      </c>
      <c r="E317">
        <v>0</v>
      </c>
      <c r="F317">
        <v>0</v>
      </c>
      <c r="G317">
        <v>0</v>
      </c>
      <c r="H317">
        <v>17</v>
      </c>
      <c r="I317" s="183" t="s">
        <v>1098</v>
      </c>
      <c r="J317" s="183" t="s">
        <v>12060</v>
      </c>
      <c r="K317">
        <v>0</v>
      </c>
      <c r="L317">
        <v>17</v>
      </c>
    </row>
    <row r="318" spans="1:12">
      <c r="A318" s="183" t="s">
        <v>2781</v>
      </c>
      <c r="B318" s="183" t="s">
        <v>2782</v>
      </c>
      <c r="C318">
        <v>50211115</v>
      </c>
      <c r="D318">
        <v>47</v>
      </c>
      <c r="E318">
        <v>0</v>
      </c>
      <c r="F318">
        <v>0</v>
      </c>
      <c r="G318">
        <v>0</v>
      </c>
      <c r="H318">
        <v>47</v>
      </c>
      <c r="I318" s="183" t="s">
        <v>1098</v>
      </c>
      <c r="J318" s="183" t="s">
        <v>12050</v>
      </c>
      <c r="K318">
        <v>0</v>
      </c>
      <c r="L318">
        <v>47</v>
      </c>
    </row>
    <row r="319" spans="1:12">
      <c r="A319" s="183" t="s">
        <v>8031</v>
      </c>
      <c r="B319" s="183" t="s">
        <v>8032</v>
      </c>
      <c r="C319">
        <v>50211217</v>
      </c>
      <c r="D319">
        <v>49</v>
      </c>
      <c r="E319">
        <v>0</v>
      </c>
      <c r="F319">
        <v>0</v>
      </c>
      <c r="G319">
        <v>0</v>
      </c>
      <c r="H319">
        <v>49</v>
      </c>
      <c r="I319" s="183" t="s">
        <v>1098</v>
      </c>
      <c r="J319" s="183" t="s">
        <v>12056</v>
      </c>
      <c r="K319">
        <v>0</v>
      </c>
      <c r="L319">
        <v>49</v>
      </c>
    </row>
    <row r="320" spans="1:12">
      <c r="A320" s="183" t="s">
        <v>3031</v>
      </c>
      <c r="B320" s="183" t="s">
        <v>3032</v>
      </c>
      <c r="C320">
        <v>50222418</v>
      </c>
      <c r="D320">
        <v>2</v>
      </c>
      <c r="E320">
        <v>0</v>
      </c>
      <c r="F320">
        <v>0</v>
      </c>
      <c r="G320">
        <v>0</v>
      </c>
      <c r="H320">
        <v>2</v>
      </c>
      <c r="I320" s="183" t="s">
        <v>1017</v>
      </c>
      <c r="J320" s="183" t="s">
        <v>12054</v>
      </c>
      <c r="K320">
        <v>0</v>
      </c>
      <c r="L320">
        <v>2</v>
      </c>
    </row>
    <row r="321" spans="1:12">
      <c r="A321" s="183" t="s">
        <v>5034</v>
      </c>
      <c r="B321" s="183" t="s">
        <v>5035</v>
      </c>
      <c r="C321">
        <v>50226518</v>
      </c>
      <c r="D321">
        <v>5</v>
      </c>
      <c r="E321">
        <v>0</v>
      </c>
      <c r="F321">
        <v>0</v>
      </c>
      <c r="G321">
        <v>0</v>
      </c>
      <c r="H321">
        <v>5</v>
      </c>
      <c r="I321" s="183" t="s">
        <v>1017</v>
      </c>
      <c r="J321" s="183" t="s">
        <v>12067</v>
      </c>
      <c r="K321">
        <v>0</v>
      </c>
      <c r="L321">
        <v>5</v>
      </c>
    </row>
    <row r="322" spans="1:12">
      <c r="A322" s="183" t="s">
        <v>3220</v>
      </c>
      <c r="B322" s="183" t="s">
        <v>3221</v>
      </c>
      <c r="C322">
        <v>50228118</v>
      </c>
      <c r="D322">
        <v>5</v>
      </c>
      <c r="E322">
        <v>0</v>
      </c>
      <c r="F322">
        <v>0</v>
      </c>
      <c r="G322">
        <v>0</v>
      </c>
      <c r="H322">
        <v>5</v>
      </c>
      <c r="I322" s="183" t="s">
        <v>1017</v>
      </c>
      <c r="J322" s="183" t="s">
        <v>12058</v>
      </c>
      <c r="K322">
        <v>0</v>
      </c>
      <c r="L322">
        <v>5</v>
      </c>
    </row>
    <row r="323" spans="1:12">
      <c r="A323" s="183" t="s">
        <v>122</v>
      </c>
      <c r="B323" s="183" t="s">
        <v>123</v>
      </c>
      <c r="C323">
        <v>50236518</v>
      </c>
      <c r="D323">
        <v>9</v>
      </c>
      <c r="E323">
        <v>0</v>
      </c>
      <c r="F323">
        <v>0</v>
      </c>
      <c r="G323">
        <v>0</v>
      </c>
      <c r="H323">
        <v>9</v>
      </c>
      <c r="I323" s="183" t="s">
        <v>1017</v>
      </c>
      <c r="J323" s="183" t="s">
        <v>12055</v>
      </c>
      <c r="K323">
        <v>0</v>
      </c>
      <c r="L323">
        <v>9</v>
      </c>
    </row>
    <row r="324" spans="1:12">
      <c r="A324" s="183" t="s">
        <v>126</v>
      </c>
      <c r="B324" s="183" t="s">
        <v>127</v>
      </c>
      <c r="C324">
        <v>50238218</v>
      </c>
      <c r="D324">
        <v>75</v>
      </c>
      <c r="E324">
        <v>0</v>
      </c>
      <c r="F324">
        <v>0</v>
      </c>
      <c r="G324">
        <v>0</v>
      </c>
      <c r="H324">
        <v>75</v>
      </c>
      <c r="I324" s="183" t="s">
        <v>1017</v>
      </c>
      <c r="J324" s="183" t="s">
        <v>12061</v>
      </c>
      <c r="K324">
        <v>0</v>
      </c>
      <c r="L324">
        <v>75</v>
      </c>
    </row>
    <row r="325" spans="1:12">
      <c r="A325" s="183" t="s">
        <v>130</v>
      </c>
      <c r="B325" s="183" t="s">
        <v>131</v>
      </c>
      <c r="C325">
        <v>50238418</v>
      </c>
      <c r="D325">
        <v>61</v>
      </c>
      <c r="E325">
        <v>0</v>
      </c>
      <c r="F325">
        <v>0</v>
      </c>
      <c r="G325">
        <v>0</v>
      </c>
      <c r="H325">
        <v>61</v>
      </c>
      <c r="I325" s="183" t="s">
        <v>1017</v>
      </c>
      <c r="J325" s="183" t="s">
        <v>12052</v>
      </c>
      <c r="K325">
        <v>0</v>
      </c>
      <c r="L325">
        <v>61</v>
      </c>
    </row>
    <row r="326" spans="1:12">
      <c r="A326" s="183" t="s">
        <v>7122</v>
      </c>
      <c r="B326" s="183" t="s">
        <v>7123</v>
      </c>
      <c r="C326">
        <v>50200308</v>
      </c>
      <c r="D326">
        <v>14</v>
      </c>
      <c r="E326">
        <v>0</v>
      </c>
      <c r="F326">
        <v>0</v>
      </c>
      <c r="G326">
        <v>0</v>
      </c>
      <c r="H326">
        <v>14</v>
      </c>
      <c r="I326" s="183" t="s">
        <v>1098</v>
      </c>
      <c r="J326" s="183" t="s">
        <v>12055</v>
      </c>
      <c r="K326">
        <v>0</v>
      </c>
      <c r="L326">
        <v>14</v>
      </c>
    </row>
    <row r="327" spans="1:12">
      <c r="A327" s="183" t="s">
        <v>6934</v>
      </c>
      <c r="B327" s="183" t="s">
        <v>6935</v>
      </c>
      <c r="C327">
        <v>50201103</v>
      </c>
      <c r="D327">
        <v>47</v>
      </c>
      <c r="E327">
        <v>0</v>
      </c>
      <c r="F327">
        <v>0</v>
      </c>
      <c r="G327">
        <v>0</v>
      </c>
      <c r="H327">
        <v>47</v>
      </c>
      <c r="I327" s="183" t="s">
        <v>1098</v>
      </c>
      <c r="J327" s="183" t="s">
        <v>12059</v>
      </c>
      <c r="K327">
        <v>0</v>
      </c>
      <c r="L327">
        <v>47</v>
      </c>
    </row>
    <row r="328" spans="1:12">
      <c r="A328" s="183" t="s">
        <v>2695</v>
      </c>
      <c r="B328" s="183" t="s">
        <v>2696</v>
      </c>
      <c r="C328">
        <v>50201117</v>
      </c>
      <c r="D328">
        <v>50</v>
      </c>
      <c r="E328">
        <v>0</v>
      </c>
      <c r="F328">
        <v>0</v>
      </c>
      <c r="G328">
        <v>0</v>
      </c>
      <c r="H328">
        <v>50</v>
      </c>
      <c r="I328" s="183" t="s">
        <v>1098</v>
      </c>
      <c r="J328" s="183" t="s">
        <v>12059</v>
      </c>
      <c r="K328">
        <v>0</v>
      </c>
      <c r="L328">
        <v>50</v>
      </c>
    </row>
    <row r="329" spans="1:12">
      <c r="A329" s="183" t="s">
        <v>1742</v>
      </c>
      <c r="B329" s="183" t="s">
        <v>1743</v>
      </c>
      <c r="C329">
        <v>50201202</v>
      </c>
      <c r="D329">
        <v>36</v>
      </c>
      <c r="E329">
        <v>0</v>
      </c>
      <c r="F329">
        <v>0</v>
      </c>
      <c r="G329">
        <v>0</v>
      </c>
      <c r="H329">
        <v>36</v>
      </c>
      <c r="I329" s="183" t="s">
        <v>1098</v>
      </c>
      <c r="J329" s="183" t="s">
        <v>12057</v>
      </c>
      <c r="K329">
        <v>0</v>
      </c>
      <c r="L329">
        <v>36</v>
      </c>
    </row>
    <row r="330" spans="1:12">
      <c r="A330" s="183" t="s">
        <v>1728</v>
      </c>
      <c r="B330" s="183" t="s">
        <v>1729</v>
      </c>
      <c r="C330">
        <v>50202108</v>
      </c>
      <c r="D330">
        <v>73</v>
      </c>
      <c r="E330">
        <v>0</v>
      </c>
      <c r="F330">
        <v>0</v>
      </c>
      <c r="G330">
        <v>0</v>
      </c>
      <c r="H330">
        <v>73</v>
      </c>
      <c r="I330" s="183" t="s">
        <v>1098</v>
      </c>
      <c r="J330" s="183" t="s">
        <v>12057</v>
      </c>
      <c r="K330">
        <v>0</v>
      </c>
      <c r="L330">
        <v>73</v>
      </c>
    </row>
    <row r="331" spans="1:12">
      <c r="A331" s="183" t="s">
        <v>2064</v>
      </c>
      <c r="B331" s="183" t="s">
        <v>2065</v>
      </c>
      <c r="C331">
        <v>50202210</v>
      </c>
      <c r="D331">
        <v>57</v>
      </c>
      <c r="E331">
        <v>0</v>
      </c>
      <c r="F331">
        <v>0</v>
      </c>
      <c r="G331">
        <v>0</v>
      </c>
      <c r="H331">
        <v>57</v>
      </c>
      <c r="I331" s="183" t="s">
        <v>1098</v>
      </c>
      <c r="J331" s="183" t="s">
        <v>12067</v>
      </c>
      <c r="K331">
        <v>0</v>
      </c>
      <c r="L331">
        <v>57</v>
      </c>
    </row>
    <row r="332" spans="1:12">
      <c r="A332" s="183" t="s">
        <v>8015</v>
      </c>
      <c r="B332" s="183" t="s">
        <v>8016</v>
      </c>
      <c r="C332">
        <v>50202417</v>
      </c>
      <c r="D332">
        <v>50</v>
      </c>
      <c r="E332">
        <v>0</v>
      </c>
      <c r="F332">
        <v>0</v>
      </c>
      <c r="G332">
        <v>0</v>
      </c>
      <c r="H332">
        <v>50</v>
      </c>
      <c r="I332" s="183" t="s">
        <v>1098</v>
      </c>
      <c r="J332" s="183" t="s">
        <v>12059</v>
      </c>
      <c r="K332">
        <v>0</v>
      </c>
      <c r="L332">
        <v>50</v>
      </c>
    </row>
    <row r="333" spans="1:12">
      <c r="A333" s="183" t="s">
        <v>2691</v>
      </c>
      <c r="B333" s="183" t="s">
        <v>2692</v>
      </c>
      <c r="C333">
        <v>50203215</v>
      </c>
      <c r="D333">
        <v>71</v>
      </c>
      <c r="E333">
        <v>0</v>
      </c>
      <c r="F333">
        <v>0</v>
      </c>
      <c r="G333">
        <v>0</v>
      </c>
      <c r="H333">
        <v>71</v>
      </c>
      <c r="I333" s="183" t="s">
        <v>1098</v>
      </c>
      <c r="J333" s="183" t="s">
        <v>12056</v>
      </c>
      <c r="K333">
        <v>0</v>
      </c>
      <c r="L333">
        <v>71</v>
      </c>
    </row>
    <row r="334" spans="1:12">
      <c r="A334" s="183" t="s">
        <v>1723</v>
      </c>
      <c r="B334" s="183" t="s">
        <v>1724</v>
      </c>
      <c r="C334">
        <v>50203310</v>
      </c>
      <c r="D334">
        <v>39</v>
      </c>
      <c r="E334">
        <v>0</v>
      </c>
      <c r="F334">
        <v>0</v>
      </c>
      <c r="G334">
        <v>0</v>
      </c>
      <c r="H334">
        <v>39</v>
      </c>
      <c r="I334" s="183" t="s">
        <v>1098</v>
      </c>
      <c r="J334" s="183" t="s">
        <v>12060</v>
      </c>
      <c r="K334">
        <v>0</v>
      </c>
      <c r="L334">
        <v>39</v>
      </c>
    </row>
    <row r="335" spans="1:12">
      <c r="A335" s="183" t="s">
        <v>1554</v>
      </c>
      <c r="B335" s="183" t="s">
        <v>1555</v>
      </c>
      <c r="C335">
        <v>50204102</v>
      </c>
      <c r="D335">
        <v>22</v>
      </c>
      <c r="E335">
        <v>0</v>
      </c>
      <c r="F335">
        <v>0</v>
      </c>
      <c r="G335">
        <v>0</v>
      </c>
      <c r="H335">
        <v>22</v>
      </c>
      <c r="I335" s="183" t="s">
        <v>1098</v>
      </c>
      <c r="J335" s="183" t="s">
        <v>12060</v>
      </c>
      <c r="K335">
        <v>0</v>
      </c>
      <c r="L335">
        <v>22</v>
      </c>
    </row>
    <row r="336" spans="1:12">
      <c r="A336" s="183" t="s">
        <v>2706</v>
      </c>
      <c r="B336" s="183" t="s">
        <v>2707</v>
      </c>
      <c r="C336">
        <v>50204108</v>
      </c>
      <c r="D336">
        <v>97</v>
      </c>
      <c r="E336">
        <v>0</v>
      </c>
      <c r="F336">
        <v>0</v>
      </c>
      <c r="G336">
        <v>0</v>
      </c>
      <c r="H336">
        <v>97</v>
      </c>
      <c r="I336" s="183" t="s">
        <v>1098</v>
      </c>
      <c r="J336" s="183" t="s">
        <v>12059</v>
      </c>
      <c r="K336">
        <v>0</v>
      </c>
      <c r="L336">
        <v>97</v>
      </c>
    </row>
    <row r="337" spans="1:12">
      <c r="A337" s="183" t="s">
        <v>2362</v>
      </c>
      <c r="B337" s="183" t="s">
        <v>2363</v>
      </c>
      <c r="C337">
        <v>50204110</v>
      </c>
      <c r="D337">
        <v>62</v>
      </c>
      <c r="E337">
        <v>0</v>
      </c>
      <c r="F337">
        <v>0</v>
      </c>
      <c r="G337">
        <v>0</v>
      </c>
      <c r="H337">
        <v>62</v>
      </c>
      <c r="I337" s="183" t="s">
        <v>1098</v>
      </c>
      <c r="J337" s="183" t="s">
        <v>12054</v>
      </c>
      <c r="K337">
        <v>0</v>
      </c>
      <c r="L337">
        <v>62</v>
      </c>
    </row>
    <row r="338" spans="1:12">
      <c r="A338" s="183" t="s">
        <v>1740</v>
      </c>
      <c r="B338" s="183" t="s">
        <v>1741</v>
      </c>
      <c r="C338">
        <v>50204216</v>
      </c>
      <c r="D338">
        <v>50</v>
      </c>
      <c r="E338">
        <v>0</v>
      </c>
      <c r="F338">
        <v>0</v>
      </c>
      <c r="G338">
        <v>0</v>
      </c>
      <c r="H338">
        <v>50</v>
      </c>
      <c r="I338" s="183" t="s">
        <v>1098</v>
      </c>
      <c r="J338" s="183" t="s">
        <v>12060</v>
      </c>
      <c r="K338">
        <v>0</v>
      </c>
      <c r="L338">
        <v>50</v>
      </c>
    </row>
    <row r="339" spans="1:12">
      <c r="A339" s="183" t="s">
        <v>8523</v>
      </c>
      <c r="B339" s="183" t="s">
        <v>8524</v>
      </c>
      <c r="C339">
        <v>50204315</v>
      </c>
      <c r="D339">
        <v>19</v>
      </c>
      <c r="E339">
        <v>0</v>
      </c>
      <c r="F339">
        <v>0</v>
      </c>
      <c r="G339">
        <v>0</v>
      </c>
      <c r="H339">
        <v>19</v>
      </c>
      <c r="I339" s="183" t="s">
        <v>1098</v>
      </c>
      <c r="J339" s="183" t="s">
        <v>12060</v>
      </c>
      <c r="K339">
        <v>0</v>
      </c>
      <c r="L339">
        <v>19</v>
      </c>
    </row>
    <row r="340" spans="1:12">
      <c r="A340" s="183" t="s">
        <v>6996</v>
      </c>
      <c r="B340" s="183" t="s">
        <v>6997</v>
      </c>
      <c r="C340">
        <v>50205101</v>
      </c>
      <c r="D340">
        <v>18</v>
      </c>
      <c r="E340">
        <v>0</v>
      </c>
      <c r="F340">
        <v>0</v>
      </c>
      <c r="G340">
        <v>0</v>
      </c>
      <c r="H340">
        <v>18</v>
      </c>
      <c r="I340" s="183" t="s">
        <v>1098</v>
      </c>
      <c r="J340" s="183" t="s">
        <v>12061</v>
      </c>
      <c r="K340">
        <v>0</v>
      </c>
      <c r="L340">
        <v>18</v>
      </c>
    </row>
    <row r="341" spans="1:12">
      <c r="A341" s="183" t="s">
        <v>1731</v>
      </c>
      <c r="B341" s="183" t="s">
        <v>1732</v>
      </c>
      <c r="C341">
        <v>50205203</v>
      </c>
      <c r="D341">
        <v>49</v>
      </c>
      <c r="E341">
        <v>0</v>
      </c>
      <c r="F341">
        <v>0</v>
      </c>
      <c r="G341">
        <v>0</v>
      </c>
      <c r="H341">
        <v>49</v>
      </c>
      <c r="I341" s="183" t="s">
        <v>1098</v>
      </c>
      <c r="J341" s="183" t="s">
        <v>12052</v>
      </c>
      <c r="K341">
        <v>0</v>
      </c>
      <c r="L341">
        <v>49</v>
      </c>
    </row>
    <row r="342" spans="1:12">
      <c r="A342" s="183" t="s">
        <v>7211</v>
      </c>
      <c r="B342" s="183" t="s">
        <v>7212</v>
      </c>
      <c r="C342">
        <v>50205503</v>
      </c>
      <c r="D342">
        <v>17</v>
      </c>
      <c r="E342">
        <v>0</v>
      </c>
      <c r="F342">
        <v>0</v>
      </c>
      <c r="G342">
        <v>0</v>
      </c>
      <c r="H342">
        <v>17</v>
      </c>
      <c r="I342" s="183" t="s">
        <v>1098</v>
      </c>
      <c r="J342" s="183" t="s">
        <v>12066</v>
      </c>
      <c r="K342">
        <v>0</v>
      </c>
      <c r="L342">
        <v>17</v>
      </c>
    </row>
    <row r="343" spans="1:12">
      <c r="A343" s="183" t="s">
        <v>8350</v>
      </c>
      <c r="B343" s="183" t="s">
        <v>8351</v>
      </c>
      <c r="C343">
        <v>50205517</v>
      </c>
      <c r="D343">
        <v>50</v>
      </c>
      <c r="E343">
        <v>0</v>
      </c>
      <c r="F343">
        <v>0</v>
      </c>
      <c r="G343">
        <v>0</v>
      </c>
      <c r="H343">
        <v>50</v>
      </c>
      <c r="I343" s="183" t="s">
        <v>1098</v>
      </c>
      <c r="J343" s="183" t="s">
        <v>12063</v>
      </c>
      <c r="K343">
        <v>0</v>
      </c>
      <c r="L343">
        <v>50</v>
      </c>
    </row>
    <row r="344" spans="1:12">
      <c r="A344" s="183" t="s">
        <v>2364</v>
      </c>
      <c r="B344" s="183" t="s">
        <v>2365</v>
      </c>
      <c r="C344">
        <v>50206301</v>
      </c>
      <c r="D344">
        <v>50</v>
      </c>
      <c r="E344">
        <v>0</v>
      </c>
      <c r="F344">
        <v>0</v>
      </c>
      <c r="G344">
        <v>0</v>
      </c>
      <c r="H344">
        <v>50</v>
      </c>
      <c r="I344" s="183" t="s">
        <v>1098</v>
      </c>
      <c r="J344" s="183" t="s">
        <v>12057</v>
      </c>
      <c r="K344">
        <v>0</v>
      </c>
      <c r="L344">
        <v>50</v>
      </c>
    </row>
    <row r="345" spans="1:12">
      <c r="A345" s="183" t="s">
        <v>2557</v>
      </c>
      <c r="B345" s="183" t="s">
        <v>2558</v>
      </c>
      <c r="C345">
        <v>50206303</v>
      </c>
      <c r="D345">
        <v>48</v>
      </c>
      <c r="E345">
        <v>0</v>
      </c>
      <c r="F345">
        <v>0</v>
      </c>
      <c r="G345">
        <v>0</v>
      </c>
      <c r="H345">
        <v>48</v>
      </c>
      <c r="I345" s="183" t="s">
        <v>1098</v>
      </c>
      <c r="J345" s="183" t="s">
        <v>12054</v>
      </c>
      <c r="K345">
        <v>0</v>
      </c>
      <c r="L345">
        <v>48</v>
      </c>
    </row>
    <row r="346" spans="1:12">
      <c r="A346" s="183" t="s">
        <v>8095</v>
      </c>
      <c r="B346" s="183" t="s">
        <v>8096</v>
      </c>
      <c r="C346">
        <v>50206317</v>
      </c>
      <c r="D346">
        <v>49</v>
      </c>
      <c r="E346">
        <v>0</v>
      </c>
      <c r="F346">
        <v>0</v>
      </c>
      <c r="G346">
        <v>0</v>
      </c>
      <c r="H346">
        <v>49</v>
      </c>
      <c r="I346" s="183" t="s">
        <v>1098</v>
      </c>
      <c r="J346" s="183" t="s">
        <v>12060</v>
      </c>
      <c r="K346">
        <v>0</v>
      </c>
      <c r="L346">
        <v>49</v>
      </c>
    </row>
    <row r="347" spans="1:12">
      <c r="A347" s="183" t="s">
        <v>2226</v>
      </c>
      <c r="B347" s="183" t="s">
        <v>2227</v>
      </c>
      <c r="C347">
        <v>50207108</v>
      </c>
      <c r="D347">
        <v>49</v>
      </c>
      <c r="E347">
        <v>0</v>
      </c>
      <c r="F347">
        <v>0</v>
      </c>
      <c r="G347">
        <v>0</v>
      </c>
      <c r="H347">
        <v>49</v>
      </c>
      <c r="I347" s="183" t="s">
        <v>1098</v>
      </c>
      <c r="J347" s="183" t="s">
        <v>12058</v>
      </c>
      <c r="K347">
        <v>0</v>
      </c>
      <c r="L347">
        <v>49</v>
      </c>
    </row>
    <row r="348" spans="1:12">
      <c r="A348" s="183" t="s">
        <v>2560</v>
      </c>
      <c r="B348" s="183" t="s">
        <v>2561</v>
      </c>
      <c r="C348">
        <v>50207217</v>
      </c>
      <c r="D348">
        <v>47</v>
      </c>
      <c r="E348">
        <v>0</v>
      </c>
      <c r="F348">
        <v>0</v>
      </c>
      <c r="G348">
        <v>0</v>
      </c>
      <c r="H348">
        <v>47</v>
      </c>
      <c r="I348" s="183" t="s">
        <v>1098</v>
      </c>
      <c r="J348" s="183" t="s">
        <v>12057</v>
      </c>
      <c r="K348">
        <v>0</v>
      </c>
      <c r="L348">
        <v>47</v>
      </c>
    </row>
    <row r="349" spans="1:12">
      <c r="A349" s="183" t="s">
        <v>11851</v>
      </c>
      <c r="B349" s="183" t="s">
        <v>11852</v>
      </c>
      <c r="C349">
        <v>50207310</v>
      </c>
      <c r="D349">
        <v>60</v>
      </c>
      <c r="E349">
        <v>0</v>
      </c>
      <c r="F349">
        <v>0</v>
      </c>
      <c r="G349">
        <v>0</v>
      </c>
      <c r="H349">
        <v>60</v>
      </c>
      <c r="I349" s="183" t="s">
        <v>1098</v>
      </c>
      <c r="J349" s="183" t="s">
        <v>12052</v>
      </c>
      <c r="K349">
        <v>0</v>
      </c>
      <c r="L349">
        <v>60</v>
      </c>
    </row>
    <row r="350" spans="1:12">
      <c r="A350" s="183" t="s">
        <v>8057</v>
      </c>
      <c r="B350" s="183" t="s">
        <v>8058</v>
      </c>
      <c r="C350">
        <v>50207317</v>
      </c>
      <c r="D350">
        <v>44</v>
      </c>
      <c r="E350">
        <v>0</v>
      </c>
      <c r="F350">
        <v>0</v>
      </c>
      <c r="G350">
        <v>0</v>
      </c>
      <c r="H350">
        <v>44</v>
      </c>
      <c r="I350" s="183" t="s">
        <v>1098</v>
      </c>
      <c r="J350" s="183" t="s">
        <v>12061</v>
      </c>
      <c r="K350">
        <v>0</v>
      </c>
      <c r="L350">
        <v>44</v>
      </c>
    </row>
    <row r="351" spans="1:12">
      <c r="A351" s="183" t="s">
        <v>2693</v>
      </c>
      <c r="B351" s="183" t="s">
        <v>2694</v>
      </c>
      <c r="C351">
        <v>50207408</v>
      </c>
      <c r="D351">
        <v>24</v>
      </c>
      <c r="E351">
        <v>0</v>
      </c>
      <c r="F351">
        <v>0</v>
      </c>
      <c r="G351">
        <v>0</v>
      </c>
      <c r="H351">
        <v>24</v>
      </c>
      <c r="I351" s="183" t="s">
        <v>1098</v>
      </c>
      <c r="J351" s="183" t="s">
        <v>12061</v>
      </c>
      <c r="K351">
        <v>0</v>
      </c>
      <c r="L351">
        <v>24</v>
      </c>
    </row>
    <row r="352" spans="1:12">
      <c r="A352" s="183" t="s">
        <v>2067</v>
      </c>
      <c r="B352" s="183" t="s">
        <v>2068</v>
      </c>
      <c r="C352">
        <v>50207415</v>
      </c>
      <c r="D352">
        <v>50</v>
      </c>
      <c r="E352">
        <v>0</v>
      </c>
      <c r="F352">
        <v>0</v>
      </c>
      <c r="G352">
        <v>0</v>
      </c>
      <c r="H352">
        <v>50</v>
      </c>
      <c r="I352" s="183" t="s">
        <v>1098</v>
      </c>
      <c r="J352" s="183" t="s">
        <v>12060</v>
      </c>
      <c r="K352">
        <v>0</v>
      </c>
      <c r="L352">
        <v>50</v>
      </c>
    </row>
    <row r="353" spans="1:12">
      <c r="A353" s="183" t="s">
        <v>2353</v>
      </c>
      <c r="B353" s="183" t="s">
        <v>2354</v>
      </c>
      <c r="C353">
        <v>50207510</v>
      </c>
      <c r="D353">
        <v>55</v>
      </c>
      <c r="E353">
        <v>0</v>
      </c>
      <c r="F353">
        <v>0</v>
      </c>
      <c r="G353">
        <v>0</v>
      </c>
      <c r="H353">
        <v>55</v>
      </c>
      <c r="I353" s="183" t="s">
        <v>1098</v>
      </c>
      <c r="J353" s="183" t="s">
        <v>12050</v>
      </c>
      <c r="K353">
        <v>0</v>
      </c>
      <c r="L353">
        <v>55</v>
      </c>
    </row>
    <row r="354" spans="1:12">
      <c r="A354" s="183" t="s">
        <v>2070</v>
      </c>
      <c r="B354" s="183" t="s">
        <v>2071</v>
      </c>
      <c r="C354">
        <v>50207517</v>
      </c>
      <c r="D354">
        <v>53</v>
      </c>
      <c r="E354">
        <v>0</v>
      </c>
      <c r="F354">
        <v>0</v>
      </c>
      <c r="G354">
        <v>0</v>
      </c>
      <c r="H354">
        <v>53</v>
      </c>
      <c r="I354" s="183" t="s">
        <v>1098</v>
      </c>
      <c r="J354" s="183" t="s">
        <v>12057</v>
      </c>
      <c r="K354">
        <v>0</v>
      </c>
      <c r="L354">
        <v>53</v>
      </c>
    </row>
    <row r="355" spans="1:12">
      <c r="A355" s="183" t="s">
        <v>2224</v>
      </c>
      <c r="B355" s="183" t="s">
        <v>2225</v>
      </c>
      <c r="C355">
        <v>50208101</v>
      </c>
      <c r="D355">
        <v>36</v>
      </c>
      <c r="E355">
        <v>0</v>
      </c>
      <c r="F355">
        <v>0</v>
      </c>
      <c r="G355">
        <v>0</v>
      </c>
      <c r="H355">
        <v>36</v>
      </c>
      <c r="I355" s="183" t="s">
        <v>1098</v>
      </c>
      <c r="J355" s="183" t="s">
        <v>12061</v>
      </c>
      <c r="K355">
        <v>0</v>
      </c>
      <c r="L355">
        <v>36</v>
      </c>
    </row>
    <row r="356" spans="1:12">
      <c r="A356" s="183" t="s">
        <v>1917</v>
      </c>
      <c r="B356" s="183" t="s">
        <v>1918</v>
      </c>
      <c r="C356">
        <v>50208103</v>
      </c>
      <c r="D356">
        <v>71</v>
      </c>
      <c r="E356">
        <v>0</v>
      </c>
      <c r="F356">
        <v>0</v>
      </c>
      <c r="G356">
        <v>0</v>
      </c>
      <c r="H356">
        <v>71</v>
      </c>
      <c r="I356" s="183" t="s">
        <v>1098</v>
      </c>
      <c r="J356" s="183" t="s">
        <v>12061</v>
      </c>
      <c r="K356">
        <v>0</v>
      </c>
      <c r="L356">
        <v>71</v>
      </c>
    </row>
    <row r="357" spans="1:12">
      <c r="A357" s="183" t="s">
        <v>1576</v>
      </c>
      <c r="B357" s="183" t="s">
        <v>1577</v>
      </c>
      <c r="C357">
        <v>50208115</v>
      </c>
      <c r="D357">
        <v>49</v>
      </c>
      <c r="E357">
        <v>0</v>
      </c>
      <c r="F357">
        <v>0</v>
      </c>
      <c r="G357">
        <v>0</v>
      </c>
      <c r="H357">
        <v>49</v>
      </c>
      <c r="I357" s="183" t="s">
        <v>1098</v>
      </c>
      <c r="J357" s="183" t="s">
        <v>12056</v>
      </c>
      <c r="K357">
        <v>0</v>
      </c>
      <c r="L357">
        <v>49</v>
      </c>
    </row>
    <row r="358" spans="1:12">
      <c r="A358" s="183" t="s">
        <v>8511</v>
      </c>
      <c r="B358" s="183" t="s">
        <v>8512</v>
      </c>
      <c r="C358">
        <v>50208201</v>
      </c>
      <c r="D358">
        <v>49</v>
      </c>
      <c r="E358">
        <v>0</v>
      </c>
      <c r="F358">
        <v>0</v>
      </c>
      <c r="G358">
        <v>0</v>
      </c>
      <c r="H358">
        <v>49</v>
      </c>
      <c r="I358" s="183" t="s">
        <v>1098</v>
      </c>
      <c r="J358" s="183" t="s">
        <v>12060</v>
      </c>
      <c r="K358">
        <v>0</v>
      </c>
      <c r="L358">
        <v>49</v>
      </c>
    </row>
    <row r="359" spans="1:12">
      <c r="A359" s="183" t="s">
        <v>8525</v>
      </c>
      <c r="B359" s="183" t="s">
        <v>8526</v>
      </c>
      <c r="C359">
        <v>50208203</v>
      </c>
      <c r="D359">
        <v>49</v>
      </c>
      <c r="E359">
        <v>0</v>
      </c>
      <c r="F359">
        <v>0</v>
      </c>
      <c r="G359">
        <v>0</v>
      </c>
      <c r="H359">
        <v>49</v>
      </c>
      <c r="I359" s="183" t="s">
        <v>1098</v>
      </c>
      <c r="J359" s="183" t="s">
        <v>12061</v>
      </c>
      <c r="K359">
        <v>0</v>
      </c>
      <c r="L359">
        <v>49</v>
      </c>
    </row>
    <row r="360" spans="1:12">
      <c r="A360" s="183" t="s">
        <v>2568</v>
      </c>
      <c r="B360" s="183" t="s">
        <v>2569</v>
      </c>
      <c r="C360">
        <v>50208208</v>
      </c>
      <c r="D360">
        <v>50</v>
      </c>
      <c r="E360">
        <v>0</v>
      </c>
      <c r="F360">
        <v>0</v>
      </c>
      <c r="G360">
        <v>0</v>
      </c>
      <c r="H360">
        <v>50</v>
      </c>
      <c r="I360" s="183" t="s">
        <v>1098</v>
      </c>
      <c r="J360" s="183" t="s">
        <v>12057</v>
      </c>
      <c r="K360">
        <v>0</v>
      </c>
      <c r="L360">
        <v>50</v>
      </c>
    </row>
    <row r="361" spans="1:12">
      <c r="A361" s="183" t="s">
        <v>1562</v>
      </c>
      <c r="B361" s="183" t="s">
        <v>1563</v>
      </c>
      <c r="C361">
        <v>50209115</v>
      </c>
      <c r="D361">
        <v>45</v>
      </c>
      <c r="E361">
        <v>0</v>
      </c>
      <c r="F361">
        <v>0</v>
      </c>
      <c r="G361">
        <v>0</v>
      </c>
      <c r="H361">
        <v>45</v>
      </c>
      <c r="I361" s="183" t="s">
        <v>1098</v>
      </c>
      <c r="J361" s="183" t="s">
        <v>12054</v>
      </c>
      <c r="K361">
        <v>0</v>
      </c>
      <c r="L361">
        <v>45</v>
      </c>
    </row>
    <row r="362" spans="1:12">
      <c r="A362" s="183" t="s">
        <v>2231</v>
      </c>
      <c r="B362" s="183" t="s">
        <v>2232</v>
      </c>
      <c r="C362">
        <v>50209201</v>
      </c>
      <c r="D362">
        <v>50</v>
      </c>
      <c r="E362">
        <v>0</v>
      </c>
      <c r="F362">
        <v>0</v>
      </c>
      <c r="G362">
        <v>0</v>
      </c>
      <c r="H362">
        <v>50</v>
      </c>
      <c r="I362" s="183" t="s">
        <v>1098</v>
      </c>
      <c r="J362" s="183" t="s">
        <v>12054</v>
      </c>
      <c r="K362">
        <v>0</v>
      </c>
      <c r="L362">
        <v>50</v>
      </c>
    </row>
    <row r="363" spans="1:12">
      <c r="A363" s="183" t="s">
        <v>1568</v>
      </c>
      <c r="B363" s="183" t="s">
        <v>1569</v>
      </c>
      <c r="C363">
        <v>50209208</v>
      </c>
      <c r="D363">
        <v>50</v>
      </c>
      <c r="E363">
        <v>0</v>
      </c>
      <c r="F363">
        <v>0</v>
      </c>
      <c r="G363">
        <v>0</v>
      </c>
      <c r="H363">
        <v>50</v>
      </c>
      <c r="I363" s="183" t="s">
        <v>1098</v>
      </c>
      <c r="J363" s="183" t="s">
        <v>12060</v>
      </c>
      <c r="K363">
        <v>0</v>
      </c>
      <c r="L363">
        <v>50</v>
      </c>
    </row>
    <row r="364" spans="1:12">
      <c r="A364" s="183" t="s">
        <v>3027</v>
      </c>
      <c r="B364" s="183" t="s">
        <v>3028</v>
      </c>
      <c r="C364">
        <v>50219418</v>
      </c>
      <c r="D364">
        <v>14</v>
      </c>
      <c r="E364">
        <v>0</v>
      </c>
      <c r="F364">
        <v>0</v>
      </c>
      <c r="G364">
        <v>0</v>
      </c>
      <c r="H364">
        <v>14</v>
      </c>
      <c r="I364" s="183" t="s">
        <v>1017</v>
      </c>
      <c r="J364" s="183" t="s">
        <v>12067</v>
      </c>
      <c r="K364">
        <v>0</v>
      </c>
      <c r="L364">
        <v>14</v>
      </c>
    </row>
    <row r="365" spans="1:12">
      <c r="A365" s="183" t="s">
        <v>6863</v>
      </c>
      <c r="B365" s="183" t="s">
        <v>6864</v>
      </c>
      <c r="C365">
        <v>50220118</v>
      </c>
      <c r="D365">
        <v>23</v>
      </c>
      <c r="E365">
        <v>0</v>
      </c>
      <c r="F365">
        <v>0</v>
      </c>
      <c r="G365">
        <v>0</v>
      </c>
      <c r="H365">
        <v>23</v>
      </c>
      <c r="I365" s="183" t="s">
        <v>1017</v>
      </c>
      <c r="J365" s="183" t="s">
        <v>12061</v>
      </c>
      <c r="K365">
        <v>0</v>
      </c>
      <c r="L365">
        <v>23</v>
      </c>
    </row>
    <row r="366" spans="1:12">
      <c r="A366" s="183" t="s">
        <v>7034</v>
      </c>
      <c r="B366" s="183" t="s">
        <v>7035</v>
      </c>
      <c r="C366">
        <v>50222209</v>
      </c>
      <c r="D366">
        <v>32</v>
      </c>
      <c r="E366">
        <v>0</v>
      </c>
      <c r="F366">
        <v>0</v>
      </c>
      <c r="G366">
        <v>0</v>
      </c>
      <c r="H366">
        <v>32</v>
      </c>
      <c r="I366" s="183" t="s">
        <v>1017</v>
      </c>
      <c r="J366" s="183" t="s">
        <v>12050</v>
      </c>
      <c r="K366">
        <v>0</v>
      </c>
      <c r="L366">
        <v>32</v>
      </c>
    </row>
    <row r="367" spans="1:12">
      <c r="A367" s="183" t="s">
        <v>6865</v>
      </c>
      <c r="B367" s="183" t="s">
        <v>6866</v>
      </c>
      <c r="C367">
        <v>50222218</v>
      </c>
      <c r="D367">
        <v>9</v>
      </c>
      <c r="E367">
        <v>0</v>
      </c>
      <c r="F367">
        <v>0</v>
      </c>
      <c r="G367">
        <v>0</v>
      </c>
      <c r="H367">
        <v>9</v>
      </c>
      <c r="I367" s="183" t="s">
        <v>1017</v>
      </c>
      <c r="J367" s="183" t="s">
        <v>12057</v>
      </c>
      <c r="K367">
        <v>0</v>
      </c>
      <c r="L367">
        <v>9</v>
      </c>
    </row>
    <row r="368" spans="1:12">
      <c r="A368" s="183" t="s">
        <v>5024</v>
      </c>
      <c r="B368" s="183" t="s">
        <v>5025</v>
      </c>
      <c r="C368">
        <v>50223318</v>
      </c>
      <c r="D368">
        <v>7</v>
      </c>
      <c r="E368">
        <v>0</v>
      </c>
      <c r="F368">
        <v>0</v>
      </c>
      <c r="G368">
        <v>0</v>
      </c>
      <c r="H368">
        <v>7</v>
      </c>
      <c r="I368" s="183" t="s">
        <v>1017</v>
      </c>
      <c r="J368" s="183" t="s">
        <v>12058</v>
      </c>
      <c r="K368">
        <v>0</v>
      </c>
      <c r="L368">
        <v>7</v>
      </c>
    </row>
    <row r="369" spans="1:12">
      <c r="A369" s="183" t="s">
        <v>7058</v>
      </c>
      <c r="B369" s="183" t="s">
        <v>7059</v>
      </c>
      <c r="C369">
        <v>50224309</v>
      </c>
      <c r="D369">
        <v>22</v>
      </c>
      <c r="E369">
        <v>0</v>
      </c>
      <c r="F369">
        <v>0</v>
      </c>
      <c r="G369">
        <v>0</v>
      </c>
      <c r="H369">
        <v>22</v>
      </c>
      <c r="I369" s="183" t="s">
        <v>1017</v>
      </c>
      <c r="J369" s="183" t="s">
        <v>12054</v>
      </c>
      <c r="K369">
        <v>0</v>
      </c>
      <c r="L369">
        <v>22</v>
      </c>
    </row>
    <row r="370" spans="1:12">
      <c r="A370" s="183" t="s">
        <v>6867</v>
      </c>
      <c r="B370" s="183" t="s">
        <v>6868</v>
      </c>
      <c r="C370">
        <v>50224318</v>
      </c>
      <c r="D370">
        <v>20</v>
      </c>
      <c r="E370">
        <v>0</v>
      </c>
      <c r="F370">
        <v>0</v>
      </c>
      <c r="G370">
        <v>0</v>
      </c>
      <c r="H370">
        <v>20</v>
      </c>
      <c r="I370" s="183" t="s">
        <v>1017</v>
      </c>
      <c r="J370" s="183" t="s">
        <v>12057</v>
      </c>
      <c r="K370">
        <v>0</v>
      </c>
      <c r="L370">
        <v>20</v>
      </c>
    </row>
    <row r="371" spans="1:12">
      <c r="A371" s="183" t="s">
        <v>4992</v>
      </c>
      <c r="B371" s="183" t="s">
        <v>4993</v>
      </c>
      <c r="C371">
        <v>50226218</v>
      </c>
      <c r="D371">
        <v>6</v>
      </c>
      <c r="E371">
        <v>0</v>
      </c>
      <c r="F371">
        <v>0</v>
      </c>
      <c r="G371">
        <v>0</v>
      </c>
      <c r="H371">
        <v>6</v>
      </c>
      <c r="I371" s="183" t="s">
        <v>1017</v>
      </c>
      <c r="J371" s="183" t="s">
        <v>12052</v>
      </c>
      <c r="K371">
        <v>0</v>
      </c>
      <c r="L371">
        <v>6</v>
      </c>
    </row>
    <row r="372" spans="1:12">
      <c r="A372" s="183" t="s">
        <v>7139</v>
      </c>
      <c r="B372" s="183" t="s">
        <v>7140</v>
      </c>
      <c r="C372">
        <v>50226509</v>
      </c>
      <c r="D372">
        <v>19</v>
      </c>
      <c r="E372">
        <v>0</v>
      </c>
      <c r="F372">
        <v>0</v>
      </c>
      <c r="G372">
        <v>0</v>
      </c>
      <c r="H372">
        <v>19</v>
      </c>
      <c r="I372" s="183" t="s">
        <v>1017</v>
      </c>
      <c r="J372" s="183" t="s">
        <v>12061</v>
      </c>
      <c r="K372">
        <v>0</v>
      </c>
      <c r="L372">
        <v>19</v>
      </c>
    </row>
    <row r="373" spans="1:12">
      <c r="A373" s="183" t="s">
        <v>4753</v>
      </c>
      <c r="B373" s="183" t="s">
        <v>4754</v>
      </c>
      <c r="C373">
        <v>50230218</v>
      </c>
      <c r="D373">
        <v>36</v>
      </c>
      <c r="E373">
        <v>0</v>
      </c>
      <c r="F373">
        <v>0</v>
      </c>
      <c r="G373">
        <v>0</v>
      </c>
      <c r="H373">
        <v>36</v>
      </c>
      <c r="I373" s="183" t="s">
        <v>1017</v>
      </c>
      <c r="J373" s="183" t="s">
        <v>12057</v>
      </c>
      <c r="K373">
        <v>0</v>
      </c>
      <c r="L373">
        <v>36</v>
      </c>
    </row>
    <row r="374" spans="1:12">
      <c r="A374" s="183" t="s">
        <v>7086</v>
      </c>
      <c r="B374" s="183" t="s">
        <v>7087</v>
      </c>
      <c r="C374">
        <v>50232309</v>
      </c>
      <c r="D374">
        <v>25</v>
      </c>
      <c r="E374">
        <v>0</v>
      </c>
      <c r="F374">
        <v>0</v>
      </c>
      <c r="G374">
        <v>0</v>
      </c>
      <c r="H374">
        <v>25</v>
      </c>
      <c r="I374" s="183" t="s">
        <v>1017</v>
      </c>
      <c r="J374" s="183" t="s">
        <v>12058</v>
      </c>
      <c r="K374">
        <v>0</v>
      </c>
      <c r="L374">
        <v>25</v>
      </c>
    </row>
    <row r="375" spans="1:12">
      <c r="A375" s="183" t="s">
        <v>3053</v>
      </c>
      <c r="B375" s="183" t="s">
        <v>3054</v>
      </c>
      <c r="C375">
        <v>50232518</v>
      </c>
      <c r="D375">
        <v>7</v>
      </c>
      <c r="E375">
        <v>0</v>
      </c>
      <c r="F375">
        <v>0</v>
      </c>
      <c r="G375">
        <v>0</v>
      </c>
      <c r="H375">
        <v>7</v>
      </c>
      <c r="I375" s="183" t="s">
        <v>1017</v>
      </c>
      <c r="J375" s="183" t="s">
        <v>12055</v>
      </c>
      <c r="K375">
        <v>0</v>
      </c>
      <c r="L375">
        <v>7</v>
      </c>
    </row>
    <row r="376" spans="1:12">
      <c r="A376" s="183" t="s">
        <v>118</v>
      </c>
      <c r="B376" s="183" t="s">
        <v>119</v>
      </c>
      <c r="C376">
        <v>50234118</v>
      </c>
      <c r="D376">
        <v>20</v>
      </c>
      <c r="E376">
        <v>0</v>
      </c>
      <c r="F376">
        <v>0</v>
      </c>
      <c r="G376">
        <v>0</v>
      </c>
      <c r="H376">
        <v>20</v>
      </c>
      <c r="I376" s="183" t="s">
        <v>1017</v>
      </c>
      <c r="J376" s="183" t="s">
        <v>12056</v>
      </c>
      <c r="K376">
        <v>0</v>
      </c>
      <c r="L376">
        <v>20</v>
      </c>
    </row>
    <row r="377" spans="1:12">
      <c r="A377" s="183" t="s">
        <v>4613</v>
      </c>
      <c r="B377" s="183" t="s">
        <v>4614</v>
      </c>
      <c r="C377">
        <v>50234318</v>
      </c>
      <c r="D377">
        <v>6</v>
      </c>
      <c r="E377">
        <v>0</v>
      </c>
      <c r="F377">
        <v>0</v>
      </c>
      <c r="G377">
        <v>0</v>
      </c>
      <c r="H377">
        <v>6</v>
      </c>
      <c r="I377" s="183" t="s">
        <v>1017</v>
      </c>
      <c r="J377" s="183" t="s">
        <v>12060</v>
      </c>
      <c r="K377">
        <v>0</v>
      </c>
      <c r="L377">
        <v>6</v>
      </c>
    </row>
    <row r="378" spans="1:12">
      <c r="A378" s="183" t="s">
        <v>132</v>
      </c>
      <c r="B378" s="183" t="s">
        <v>133</v>
      </c>
      <c r="C378">
        <v>50238518</v>
      </c>
      <c r="D378">
        <v>57</v>
      </c>
      <c r="E378">
        <v>0</v>
      </c>
      <c r="F378">
        <v>0</v>
      </c>
      <c r="G378">
        <v>0</v>
      </c>
      <c r="H378">
        <v>57</v>
      </c>
      <c r="I378" s="183" t="s">
        <v>1017</v>
      </c>
      <c r="J378" s="183" t="s">
        <v>12061</v>
      </c>
      <c r="K378">
        <v>0</v>
      </c>
      <c r="L378">
        <v>57</v>
      </c>
    </row>
    <row r="379" spans="1:12">
      <c r="A379" s="183" t="s">
        <v>6926</v>
      </c>
      <c r="B379" s="183" t="s">
        <v>6927</v>
      </c>
      <c r="C379">
        <v>50240109</v>
      </c>
      <c r="D379">
        <v>26</v>
      </c>
      <c r="E379">
        <v>0</v>
      </c>
      <c r="F379">
        <v>0</v>
      </c>
      <c r="G379">
        <v>0</v>
      </c>
      <c r="H379">
        <v>26</v>
      </c>
      <c r="I379" s="183" t="s">
        <v>1017</v>
      </c>
      <c r="J379" s="183" t="s">
        <v>12057</v>
      </c>
      <c r="K379">
        <v>0</v>
      </c>
      <c r="L379">
        <v>26</v>
      </c>
    </row>
    <row r="380" spans="1:12">
      <c r="A380" s="183" t="s">
        <v>2444</v>
      </c>
      <c r="B380" s="183" t="s">
        <v>2445</v>
      </c>
      <c r="C380">
        <v>50200117</v>
      </c>
      <c r="D380">
        <v>21</v>
      </c>
      <c r="E380">
        <v>0</v>
      </c>
      <c r="F380">
        <v>0</v>
      </c>
      <c r="G380">
        <v>0</v>
      </c>
      <c r="H380">
        <v>21</v>
      </c>
      <c r="I380" s="183" t="s">
        <v>1098</v>
      </c>
      <c r="J380" s="183" t="s">
        <v>12059</v>
      </c>
      <c r="K380">
        <v>0</v>
      </c>
      <c r="L380">
        <v>21</v>
      </c>
    </row>
    <row r="381" spans="1:12">
      <c r="A381" s="183" t="s">
        <v>2661</v>
      </c>
      <c r="B381" s="183" t="s">
        <v>2662</v>
      </c>
      <c r="C381">
        <v>50200201</v>
      </c>
      <c r="D381">
        <v>50</v>
      </c>
      <c r="E381">
        <v>0</v>
      </c>
      <c r="F381">
        <v>0</v>
      </c>
      <c r="G381">
        <v>0</v>
      </c>
      <c r="H381">
        <v>50</v>
      </c>
      <c r="I381" s="183" t="s">
        <v>1098</v>
      </c>
      <c r="J381" s="183" t="s">
        <v>12057</v>
      </c>
      <c r="K381">
        <v>0</v>
      </c>
      <c r="L381">
        <v>50</v>
      </c>
    </row>
    <row r="382" spans="1:12">
      <c r="A382" s="183" t="s">
        <v>1325</v>
      </c>
      <c r="B382" s="183" t="s">
        <v>1326</v>
      </c>
      <c r="C382">
        <v>50200203</v>
      </c>
      <c r="D382">
        <v>50</v>
      </c>
      <c r="E382">
        <v>0</v>
      </c>
      <c r="F382">
        <v>0</v>
      </c>
      <c r="G382">
        <v>0</v>
      </c>
      <c r="H382">
        <v>50</v>
      </c>
      <c r="I382" s="183" t="s">
        <v>1098</v>
      </c>
      <c r="J382" s="183" t="s">
        <v>12061</v>
      </c>
      <c r="K382">
        <v>0</v>
      </c>
      <c r="L382">
        <v>50</v>
      </c>
    </row>
    <row r="383" spans="1:12">
      <c r="A383" s="183" t="s">
        <v>8310</v>
      </c>
      <c r="B383" s="183" t="s">
        <v>8311</v>
      </c>
      <c r="C383">
        <v>50200210</v>
      </c>
      <c r="D383">
        <v>50</v>
      </c>
      <c r="E383">
        <v>0</v>
      </c>
      <c r="F383">
        <v>0</v>
      </c>
      <c r="G383">
        <v>0</v>
      </c>
      <c r="H383">
        <v>50</v>
      </c>
      <c r="I383" s="183" t="s">
        <v>1098</v>
      </c>
      <c r="J383" s="183" t="s">
        <v>12054</v>
      </c>
      <c r="K383">
        <v>0</v>
      </c>
      <c r="L383">
        <v>50</v>
      </c>
    </row>
    <row r="384" spans="1:12">
      <c r="A384" s="183" t="s">
        <v>1789</v>
      </c>
      <c r="B384" s="183" t="s">
        <v>1790</v>
      </c>
      <c r="C384">
        <v>50200216</v>
      </c>
      <c r="D384">
        <v>39</v>
      </c>
      <c r="E384">
        <v>0</v>
      </c>
      <c r="F384">
        <v>0</v>
      </c>
      <c r="G384">
        <v>0</v>
      </c>
      <c r="H384">
        <v>39</v>
      </c>
      <c r="I384" s="183" t="s">
        <v>1098</v>
      </c>
      <c r="J384" s="183" t="s">
        <v>12060</v>
      </c>
      <c r="K384">
        <v>0</v>
      </c>
      <c r="L384">
        <v>39</v>
      </c>
    </row>
    <row r="385" spans="1:12">
      <c r="A385" s="183" t="s">
        <v>8457</v>
      </c>
      <c r="B385" s="183" t="s">
        <v>8458</v>
      </c>
      <c r="C385">
        <v>50200315</v>
      </c>
      <c r="D385">
        <v>50</v>
      </c>
      <c r="E385">
        <v>0</v>
      </c>
      <c r="F385">
        <v>0</v>
      </c>
      <c r="G385">
        <v>0</v>
      </c>
      <c r="H385">
        <v>50</v>
      </c>
      <c r="I385" s="183" t="s">
        <v>1098</v>
      </c>
      <c r="J385" s="183" t="s">
        <v>12056</v>
      </c>
      <c r="K385">
        <v>0</v>
      </c>
      <c r="L385">
        <v>50</v>
      </c>
    </row>
    <row r="386" spans="1:12">
      <c r="A386" s="183" t="s">
        <v>2133</v>
      </c>
      <c r="B386" s="183" t="s">
        <v>2134</v>
      </c>
      <c r="C386">
        <v>50201115</v>
      </c>
      <c r="D386">
        <v>34</v>
      </c>
      <c r="E386">
        <v>0</v>
      </c>
      <c r="F386">
        <v>0</v>
      </c>
      <c r="G386">
        <v>0</v>
      </c>
      <c r="H386">
        <v>34</v>
      </c>
      <c r="I386" s="183" t="s">
        <v>1098</v>
      </c>
      <c r="J386" s="183" t="s">
        <v>12057</v>
      </c>
      <c r="K386">
        <v>0</v>
      </c>
      <c r="L386">
        <v>34</v>
      </c>
    </row>
    <row r="387" spans="1:12">
      <c r="A387" s="183" t="s">
        <v>1624</v>
      </c>
      <c r="B387" s="183" t="s">
        <v>1625</v>
      </c>
      <c r="C387">
        <v>50202301</v>
      </c>
      <c r="D387">
        <v>49</v>
      </c>
      <c r="E387">
        <v>0</v>
      </c>
      <c r="F387">
        <v>0</v>
      </c>
      <c r="G387">
        <v>0</v>
      </c>
      <c r="H387">
        <v>49</v>
      </c>
      <c r="I387" s="183" t="s">
        <v>1098</v>
      </c>
      <c r="J387" s="183" t="s">
        <v>12057</v>
      </c>
      <c r="K387">
        <v>0</v>
      </c>
      <c r="L387">
        <v>49</v>
      </c>
    </row>
    <row r="388" spans="1:12">
      <c r="A388" s="183" t="s">
        <v>1322</v>
      </c>
      <c r="B388" s="183" t="s">
        <v>1323</v>
      </c>
      <c r="C388">
        <v>50202310</v>
      </c>
      <c r="D388">
        <v>28</v>
      </c>
      <c r="E388">
        <v>0</v>
      </c>
      <c r="F388">
        <v>0</v>
      </c>
      <c r="G388">
        <v>0</v>
      </c>
      <c r="H388">
        <v>28</v>
      </c>
      <c r="I388" s="183" t="s">
        <v>1098</v>
      </c>
      <c r="J388" s="183" t="s">
        <v>12052</v>
      </c>
      <c r="K388">
        <v>0</v>
      </c>
      <c r="L388">
        <v>28</v>
      </c>
    </row>
    <row r="389" spans="1:12">
      <c r="A389" s="183" t="s">
        <v>1327</v>
      </c>
      <c r="B389" s="183" t="s">
        <v>1328</v>
      </c>
      <c r="C389">
        <v>50202402</v>
      </c>
      <c r="D389">
        <v>50</v>
      </c>
      <c r="E389">
        <v>0</v>
      </c>
      <c r="F389">
        <v>0</v>
      </c>
      <c r="G389">
        <v>0</v>
      </c>
      <c r="H389">
        <v>50</v>
      </c>
      <c r="I389" s="183" t="s">
        <v>1098</v>
      </c>
      <c r="J389" s="183" t="s">
        <v>12060</v>
      </c>
      <c r="K389">
        <v>0</v>
      </c>
      <c r="L389">
        <v>50</v>
      </c>
    </row>
    <row r="390" spans="1:12">
      <c r="A390" s="183" t="s">
        <v>1444</v>
      </c>
      <c r="B390" s="183" t="s">
        <v>1445</v>
      </c>
      <c r="C390">
        <v>50203103</v>
      </c>
      <c r="D390">
        <v>62</v>
      </c>
      <c r="E390">
        <v>0</v>
      </c>
      <c r="F390">
        <v>0</v>
      </c>
      <c r="G390">
        <v>0</v>
      </c>
      <c r="H390">
        <v>62</v>
      </c>
      <c r="I390" s="183" t="s">
        <v>1098</v>
      </c>
      <c r="J390" s="183" t="s">
        <v>12052</v>
      </c>
      <c r="K390">
        <v>0</v>
      </c>
      <c r="L390">
        <v>62</v>
      </c>
    </row>
    <row r="391" spans="1:12">
      <c r="A391" s="183" t="s">
        <v>2148</v>
      </c>
      <c r="B391" s="183" t="s">
        <v>2149</v>
      </c>
      <c r="C391">
        <v>50203202</v>
      </c>
      <c r="D391">
        <v>52</v>
      </c>
      <c r="E391">
        <v>0</v>
      </c>
      <c r="F391">
        <v>0</v>
      </c>
      <c r="G391">
        <v>0</v>
      </c>
      <c r="H391">
        <v>52</v>
      </c>
      <c r="I391" s="183" t="s">
        <v>1098</v>
      </c>
      <c r="J391" s="183" t="s">
        <v>12059</v>
      </c>
      <c r="K391">
        <v>0</v>
      </c>
      <c r="L391">
        <v>52</v>
      </c>
    </row>
    <row r="392" spans="1:12">
      <c r="A392" s="183" t="s">
        <v>1346</v>
      </c>
      <c r="B392" s="183" t="s">
        <v>1347</v>
      </c>
      <c r="C392">
        <v>50203216</v>
      </c>
      <c r="D392">
        <v>50</v>
      </c>
      <c r="E392">
        <v>0</v>
      </c>
      <c r="F392">
        <v>0</v>
      </c>
      <c r="G392">
        <v>0</v>
      </c>
      <c r="H392">
        <v>50</v>
      </c>
      <c r="I392" s="183" t="s">
        <v>1098</v>
      </c>
      <c r="J392" s="183" t="s">
        <v>12059</v>
      </c>
      <c r="K392">
        <v>0</v>
      </c>
      <c r="L392">
        <v>50</v>
      </c>
    </row>
    <row r="393" spans="1:12">
      <c r="A393" s="183" t="s">
        <v>1980</v>
      </c>
      <c r="B393" s="183" t="s">
        <v>1981</v>
      </c>
      <c r="C393">
        <v>50203301</v>
      </c>
      <c r="D393">
        <v>39</v>
      </c>
      <c r="E393">
        <v>0</v>
      </c>
      <c r="F393">
        <v>0</v>
      </c>
      <c r="G393">
        <v>0</v>
      </c>
      <c r="H393">
        <v>39</v>
      </c>
      <c r="I393" s="183" t="s">
        <v>1098</v>
      </c>
      <c r="J393" s="183" t="s">
        <v>12057</v>
      </c>
      <c r="K393">
        <v>0</v>
      </c>
      <c r="L393">
        <v>39</v>
      </c>
    </row>
    <row r="394" spans="1:12">
      <c r="A394" s="183" t="s">
        <v>2128</v>
      </c>
      <c r="B394" s="183" t="s">
        <v>2129</v>
      </c>
      <c r="C394">
        <v>50203308</v>
      </c>
      <c r="D394">
        <v>49</v>
      </c>
      <c r="E394">
        <v>0</v>
      </c>
      <c r="F394">
        <v>0</v>
      </c>
      <c r="G394">
        <v>0</v>
      </c>
      <c r="H394">
        <v>49</v>
      </c>
      <c r="I394" s="183" t="s">
        <v>1098</v>
      </c>
      <c r="J394" s="183" t="s">
        <v>12061</v>
      </c>
      <c r="K394">
        <v>0</v>
      </c>
      <c r="L394">
        <v>49</v>
      </c>
    </row>
    <row r="395" spans="1:12">
      <c r="A395" s="183" t="s">
        <v>1804</v>
      </c>
      <c r="B395" s="183" t="s">
        <v>1805</v>
      </c>
      <c r="C395">
        <v>50203503</v>
      </c>
      <c r="D395">
        <v>49</v>
      </c>
      <c r="E395">
        <v>0</v>
      </c>
      <c r="F395">
        <v>0</v>
      </c>
      <c r="G395">
        <v>0</v>
      </c>
      <c r="H395">
        <v>49</v>
      </c>
      <c r="I395" s="183" t="s">
        <v>1098</v>
      </c>
      <c r="J395" s="183" t="s">
        <v>12054</v>
      </c>
      <c r="K395">
        <v>0</v>
      </c>
      <c r="L395">
        <v>49</v>
      </c>
    </row>
    <row r="396" spans="1:12">
      <c r="A396" s="183" t="s">
        <v>1252</v>
      </c>
      <c r="B396" s="183" t="s">
        <v>1253</v>
      </c>
      <c r="C396">
        <v>50204417</v>
      </c>
      <c r="D396">
        <v>65</v>
      </c>
      <c r="E396">
        <v>0</v>
      </c>
      <c r="F396">
        <v>0</v>
      </c>
      <c r="G396">
        <v>0</v>
      </c>
      <c r="H396">
        <v>65</v>
      </c>
      <c r="I396" s="183" t="s">
        <v>1098</v>
      </c>
      <c r="J396" s="183" t="s">
        <v>12056</v>
      </c>
      <c r="K396">
        <v>0</v>
      </c>
      <c r="L396">
        <v>65</v>
      </c>
    </row>
    <row r="397" spans="1:12">
      <c r="A397" s="183" t="s">
        <v>2449</v>
      </c>
      <c r="B397" s="183" t="s">
        <v>2450</v>
      </c>
      <c r="C397">
        <v>50205117</v>
      </c>
      <c r="D397">
        <v>48</v>
      </c>
      <c r="E397">
        <v>0</v>
      </c>
      <c r="F397">
        <v>0</v>
      </c>
      <c r="G397">
        <v>0</v>
      </c>
      <c r="H397">
        <v>48</v>
      </c>
      <c r="I397" s="183" t="s">
        <v>1098</v>
      </c>
      <c r="J397" s="183" t="s">
        <v>12061</v>
      </c>
      <c r="K397">
        <v>0</v>
      </c>
      <c r="L397">
        <v>48</v>
      </c>
    </row>
    <row r="398" spans="1:12">
      <c r="A398" s="183" t="s">
        <v>8304</v>
      </c>
      <c r="B398" s="183" t="s">
        <v>8305</v>
      </c>
      <c r="C398">
        <v>50205315</v>
      </c>
      <c r="D398">
        <v>49</v>
      </c>
      <c r="E398">
        <v>0</v>
      </c>
      <c r="F398">
        <v>0</v>
      </c>
      <c r="G398">
        <v>0</v>
      </c>
      <c r="H398">
        <v>49</v>
      </c>
      <c r="I398" s="183" t="s">
        <v>1098</v>
      </c>
      <c r="J398" s="183" t="s">
        <v>12063</v>
      </c>
      <c r="K398">
        <v>0</v>
      </c>
      <c r="L398">
        <v>49</v>
      </c>
    </row>
    <row r="399" spans="1:12">
      <c r="A399" s="183" t="s">
        <v>8459</v>
      </c>
      <c r="B399" s="183" t="s">
        <v>8460</v>
      </c>
      <c r="C399">
        <v>50205316</v>
      </c>
      <c r="D399">
        <v>49</v>
      </c>
      <c r="E399">
        <v>0</v>
      </c>
      <c r="F399">
        <v>0</v>
      </c>
      <c r="G399">
        <v>0</v>
      </c>
      <c r="H399">
        <v>49</v>
      </c>
      <c r="I399" s="183" t="s">
        <v>1098</v>
      </c>
      <c r="J399" s="183" t="s">
        <v>12055</v>
      </c>
      <c r="K399">
        <v>0</v>
      </c>
      <c r="L399">
        <v>49</v>
      </c>
    </row>
    <row r="400" spans="1:12">
      <c r="A400" s="183" t="s">
        <v>1791</v>
      </c>
      <c r="B400" s="183" t="s">
        <v>1792</v>
      </c>
      <c r="C400">
        <v>50206110</v>
      </c>
      <c r="D400">
        <v>42</v>
      </c>
      <c r="E400">
        <v>0</v>
      </c>
      <c r="F400">
        <v>0</v>
      </c>
      <c r="G400">
        <v>0</v>
      </c>
      <c r="H400">
        <v>42</v>
      </c>
      <c r="I400" s="183" t="s">
        <v>1098</v>
      </c>
      <c r="J400" s="183" t="s">
        <v>12056</v>
      </c>
      <c r="K400">
        <v>0</v>
      </c>
      <c r="L400">
        <v>42</v>
      </c>
    </row>
    <row r="401" spans="1:12">
      <c r="A401" s="183" t="s">
        <v>1622</v>
      </c>
      <c r="B401" s="183" t="s">
        <v>1623</v>
      </c>
      <c r="C401">
        <v>50206116</v>
      </c>
      <c r="D401">
        <v>48</v>
      </c>
      <c r="E401">
        <v>0</v>
      </c>
      <c r="F401">
        <v>0</v>
      </c>
      <c r="G401">
        <v>0</v>
      </c>
      <c r="H401">
        <v>48</v>
      </c>
      <c r="I401" s="183" t="s">
        <v>1098</v>
      </c>
      <c r="J401" s="183" t="s">
        <v>12061</v>
      </c>
      <c r="K401">
        <v>0</v>
      </c>
      <c r="L401">
        <v>48</v>
      </c>
    </row>
    <row r="402" spans="1:12">
      <c r="A402" s="183" t="s">
        <v>8453</v>
      </c>
      <c r="B402" s="183" t="s">
        <v>8454</v>
      </c>
      <c r="C402">
        <v>50206201</v>
      </c>
      <c r="D402">
        <v>47</v>
      </c>
      <c r="E402">
        <v>0</v>
      </c>
      <c r="F402">
        <v>0</v>
      </c>
      <c r="G402">
        <v>0</v>
      </c>
      <c r="H402">
        <v>47</v>
      </c>
      <c r="I402" s="183" t="s">
        <v>1098</v>
      </c>
      <c r="J402" s="183" t="s">
        <v>12056</v>
      </c>
      <c r="K402">
        <v>0</v>
      </c>
      <c r="L402">
        <v>47</v>
      </c>
    </row>
    <row r="403" spans="1:12">
      <c r="A403" s="183" t="s">
        <v>2455</v>
      </c>
      <c r="B403" s="183" t="s">
        <v>2456</v>
      </c>
      <c r="C403">
        <v>50206203</v>
      </c>
      <c r="D403">
        <v>49</v>
      </c>
      <c r="E403">
        <v>0</v>
      </c>
      <c r="F403">
        <v>0</v>
      </c>
      <c r="G403">
        <v>0</v>
      </c>
      <c r="H403">
        <v>49</v>
      </c>
      <c r="I403" s="183" t="s">
        <v>1098</v>
      </c>
      <c r="J403" s="183" t="s">
        <v>12055</v>
      </c>
      <c r="K403">
        <v>0</v>
      </c>
      <c r="L403">
        <v>49</v>
      </c>
    </row>
    <row r="404" spans="1:12">
      <c r="A404" s="183" t="s">
        <v>2138</v>
      </c>
      <c r="B404" s="183" t="s">
        <v>2139</v>
      </c>
      <c r="C404">
        <v>50206217</v>
      </c>
      <c r="D404">
        <v>49</v>
      </c>
      <c r="E404">
        <v>0</v>
      </c>
      <c r="F404">
        <v>0</v>
      </c>
      <c r="G404">
        <v>0</v>
      </c>
      <c r="H404">
        <v>49</v>
      </c>
      <c r="I404" s="183" t="s">
        <v>1098</v>
      </c>
      <c r="J404" s="183" t="s">
        <v>12054</v>
      </c>
      <c r="K404">
        <v>0</v>
      </c>
      <c r="L404">
        <v>49</v>
      </c>
    </row>
    <row r="405" spans="1:12">
      <c r="A405" s="183" t="s">
        <v>1450</v>
      </c>
      <c r="B405" s="183" t="s">
        <v>1451</v>
      </c>
      <c r="C405">
        <v>50206515</v>
      </c>
      <c r="D405">
        <v>58</v>
      </c>
      <c r="E405">
        <v>0</v>
      </c>
      <c r="F405">
        <v>0</v>
      </c>
      <c r="G405">
        <v>0</v>
      </c>
      <c r="H405">
        <v>58</v>
      </c>
      <c r="I405" s="183" t="s">
        <v>1098</v>
      </c>
      <c r="J405" s="183" t="s">
        <v>12052</v>
      </c>
      <c r="K405">
        <v>0</v>
      </c>
      <c r="L405">
        <v>58</v>
      </c>
    </row>
    <row r="406" spans="1:12">
      <c r="A406" s="183" t="s">
        <v>8306</v>
      </c>
      <c r="B406" s="183" t="s">
        <v>8307</v>
      </c>
      <c r="C406">
        <v>50207201</v>
      </c>
      <c r="D406">
        <v>48</v>
      </c>
      <c r="E406">
        <v>0</v>
      </c>
      <c r="F406">
        <v>0</v>
      </c>
      <c r="G406">
        <v>0</v>
      </c>
      <c r="H406">
        <v>48</v>
      </c>
      <c r="I406" s="183" t="s">
        <v>1098</v>
      </c>
      <c r="J406" s="183" t="s">
        <v>12054</v>
      </c>
      <c r="K406">
        <v>0</v>
      </c>
      <c r="L406">
        <v>48</v>
      </c>
    </row>
    <row r="407" spans="1:12">
      <c r="A407" s="183" t="s">
        <v>1808</v>
      </c>
      <c r="B407" s="183" t="s">
        <v>1809</v>
      </c>
      <c r="C407">
        <v>50208216</v>
      </c>
      <c r="D407">
        <v>50</v>
      </c>
      <c r="E407">
        <v>0</v>
      </c>
      <c r="F407">
        <v>0</v>
      </c>
      <c r="G407">
        <v>0</v>
      </c>
      <c r="H407">
        <v>50</v>
      </c>
      <c r="I407" s="183" t="s">
        <v>1098</v>
      </c>
      <c r="J407" s="183" t="s">
        <v>12050</v>
      </c>
      <c r="K407">
        <v>0</v>
      </c>
      <c r="L407">
        <v>50</v>
      </c>
    </row>
    <row r="408" spans="1:12">
      <c r="A408" s="183" t="s">
        <v>7068</v>
      </c>
      <c r="B408" s="183" t="s">
        <v>7069</v>
      </c>
      <c r="C408">
        <v>50219309</v>
      </c>
      <c r="D408">
        <v>44</v>
      </c>
      <c r="E408">
        <v>0</v>
      </c>
      <c r="F408">
        <v>0</v>
      </c>
      <c r="G408">
        <v>0</v>
      </c>
      <c r="H408">
        <v>44</v>
      </c>
      <c r="I408" s="183" t="s">
        <v>1017</v>
      </c>
      <c r="J408" s="183" t="s">
        <v>12057</v>
      </c>
      <c r="K408">
        <v>0</v>
      </c>
      <c r="L408">
        <v>44</v>
      </c>
    </row>
    <row r="409" spans="1:12">
      <c r="A409" s="183" t="s">
        <v>7082</v>
      </c>
      <c r="B409" s="183" t="s">
        <v>7083</v>
      </c>
      <c r="C409">
        <v>50220209</v>
      </c>
      <c r="D409">
        <v>17</v>
      </c>
      <c r="E409">
        <v>0</v>
      </c>
      <c r="F409">
        <v>0</v>
      </c>
      <c r="G409">
        <v>0</v>
      </c>
      <c r="H409">
        <v>17</v>
      </c>
      <c r="I409" s="183" t="s">
        <v>1017</v>
      </c>
      <c r="J409" s="183" t="s">
        <v>12056</v>
      </c>
      <c r="K409">
        <v>0</v>
      </c>
      <c r="L409">
        <v>17</v>
      </c>
    </row>
    <row r="410" spans="1:12">
      <c r="A410" s="183" t="s">
        <v>7236</v>
      </c>
      <c r="B410" s="183" t="s">
        <v>7237</v>
      </c>
      <c r="C410">
        <v>50220409</v>
      </c>
      <c r="D410">
        <v>27</v>
      </c>
      <c r="E410">
        <v>0</v>
      </c>
      <c r="F410">
        <v>0</v>
      </c>
      <c r="G410">
        <v>0</v>
      </c>
      <c r="H410">
        <v>27</v>
      </c>
      <c r="I410" s="183" t="s">
        <v>1017</v>
      </c>
      <c r="J410" s="183" t="s">
        <v>12052</v>
      </c>
      <c r="K410">
        <v>0</v>
      </c>
      <c r="L410">
        <v>27</v>
      </c>
    </row>
    <row r="411" spans="1:12">
      <c r="A411" s="183" t="s">
        <v>7172</v>
      </c>
      <c r="B411" s="183" t="s">
        <v>7173</v>
      </c>
      <c r="C411">
        <v>50220509</v>
      </c>
      <c r="D411">
        <v>17</v>
      </c>
      <c r="E411">
        <v>0</v>
      </c>
      <c r="F411">
        <v>0</v>
      </c>
      <c r="G411">
        <v>0</v>
      </c>
      <c r="H411">
        <v>17</v>
      </c>
      <c r="I411" s="183" t="s">
        <v>1017</v>
      </c>
      <c r="J411" s="183" t="s">
        <v>12055</v>
      </c>
      <c r="K411">
        <v>0</v>
      </c>
      <c r="L411">
        <v>17</v>
      </c>
    </row>
    <row r="412" spans="1:12">
      <c r="A412" s="183" t="s">
        <v>7224</v>
      </c>
      <c r="B412" s="183" t="s">
        <v>7225</v>
      </c>
      <c r="C412">
        <v>50222509</v>
      </c>
      <c r="D412">
        <v>18</v>
      </c>
      <c r="E412">
        <v>0</v>
      </c>
      <c r="F412">
        <v>0</v>
      </c>
      <c r="G412">
        <v>0</v>
      </c>
      <c r="H412">
        <v>18</v>
      </c>
      <c r="I412" s="183" t="s">
        <v>1017</v>
      </c>
      <c r="J412" s="183" t="s">
        <v>12052</v>
      </c>
      <c r="K412">
        <v>0</v>
      </c>
      <c r="L412">
        <v>18</v>
      </c>
    </row>
    <row r="413" spans="1:12">
      <c r="A413" s="183" t="s">
        <v>4194</v>
      </c>
      <c r="B413" s="183" t="s">
        <v>4195</v>
      </c>
      <c r="C413">
        <v>50222518</v>
      </c>
      <c r="D413">
        <v>3</v>
      </c>
      <c r="E413">
        <v>0</v>
      </c>
      <c r="F413">
        <v>0</v>
      </c>
      <c r="G413">
        <v>0</v>
      </c>
      <c r="H413">
        <v>3</v>
      </c>
      <c r="I413" s="183" t="s">
        <v>1017</v>
      </c>
      <c r="J413" s="183" t="s">
        <v>12061</v>
      </c>
      <c r="K413">
        <v>0</v>
      </c>
      <c r="L413">
        <v>3</v>
      </c>
    </row>
    <row r="414" spans="1:12">
      <c r="A414" s="183" t="s">
        <v>3752</v>
      </c>
      <c r="B414" s="183" t="s">
        <v>3753</v>
      </c>
      <c r="C414">
        <v>50223418</v>
      </c>
      <c r="D414">
        <v>13</v>
      </c>
      <c r="E414">
        <v>0</v>
      </c>
      <c r="F414">
        <v>0</v>
      </c>
      <c r="G414">
        <v>0</v>
      </c>
      <c r="H414">
        <v>13</v>
      </c>
      <c r="I414" s="183" t="s">
        <v>1017</v>
      </c>
      <c r="J414" s="183" t="s">
        <v>12054</v>
      </c>
      <c r="K414">
        <v>0</v>
      </c>
      <c r="L414">
        <v>13</v>
      </c>
    </row>
    <row r="415" spans="1:12">
      <c r="A415" s="183" t="s">
        <v>5014</v>
      </c>
      <c r="B415" s="183" t="s">
        <v>5015</v>
      </c>
      <c r="C415">
        <v>50224518</v>
      </c>
      <c r="D415">
        <v>7</v>
      </c>
      <c r="E415">
        <v>0</v>
      </c>
      <c r="F415">
        <v>0</v>
      </c>
      <c r="G415">
        <v>0</v>
      </c>
      <c r="H415">
        <v>7</v>
      </c>
      <c r="I415" s="183" t="s">
        <v>1017</v>
      </c>
      <c r="J415" s="183" t="s">
        <v>12061</v>
      </c>
      <c r="K415">
        <v>0</v>
      </c>
      <c r="L415">
        <v>7</v>
      </c>
    </row>
    <row r="416" spans="1:12">
      <c r="A416" s="183" t="s">
        <v>7135</v>
      </c>
      <c r="B416" s="183" t="s">
        <v>7136</v>
      </c>
      <c r="C416">
        <v>50226409</v>
      </c>
      <c r="D416">
        <v>29</v>
      </c>
      <c r="E416">
        <v>0</v>
      </c>
      <c r="F416">
        <v>0</v>
      </c>
      <c r="G416">
        <v>0</v>
      </c>
      <c r="H416">
        <v>29</v>
      </c>
      <c r="I416" s="183" t="s">
        <v>1017</v>
      </c>
      <c r="J416" s="183" t="s">
        <v>12061</v>
      </c>
      <c r="K416">
        <v>0</v>
      </c>
      <c r="L416">
        <v>29</v>
      </c>
    </row>
    <row r="417" spans="1:12">
      <c r="A417" s="183" t="s">
        <v>4196</v>
      </c>
      <c r="B417" s="183" t="s">
        <v>4197</v>
      </c>
      <c r="C417">
        <v>50228218</v>
      </c>
      <c r="D417">
        <v>1</v>
      </c>
      <c r="E417">
        <v>0</v>
      </c>
      <c r="F417">
        <v>0</v>
      </c>
      <c r="G417">
        <v>0</v>
      </c>
      <c r="H417">
        <v>1</v>
      </c>
      <c r="I417" s="183" t="s">
        <v>1017</v>
      </c>
      <c r="J417" s="183" t="s">
        <v>12056</v>
      </c>
      <c r="K417">
        <v>0</v>
      </c>
      <c r="L417">
        <v>1</v>
      </c>
    </row>
    <row r="418" spans="1:12">
      <c r="A418" s="183" t="s">
        <v>3033</v>
      </c>
      <c r="B418" s="183" t="s">
        <v>3034</v>
      </c>
      <c r="C418">
        <v>50228518</v>
      </c>
      <c r="D418">
        <v>4</v>
      </c>
      <c r="E418">
        <v>0</v>
      </c>
      <c r="F418">
        <v>0</v>
      </c>
      <c r="G418">
        <v>0</v>
      </c>
      <c r="H418">
        <v>4</v>
      </c>
      <c r="I418" s="183" t="s">
        <v>1017</v>
      </c>
      <c r="J418" s="183" t="s">
        <v>12052</v>
      </c>
      <c r="K418">
        <v>0</v>
      </c>
      <c r="L418">
        <v>4</v>
      </c>
    </row>
    <row r="419" spans="1:12">
      <c r="A419" s="183" t="s">
        <v>3226</v>
      </c>
      <c r="B419" s="183" t="s">
        <v>3227</v>
      </c>
      <c r="C419">
        <v>50230118</v>
      </c>
      <c r="D419">
        <v>5</v>
      </c>
      <c r="E419">
        <v>0</v>
      </c>
      <c r="F419">
        <v>0</v>
      </c>
      <c r="G419">
        <v>0</v>
      </c>
      <c r="H419">
        <v>5</v>
      </c>
      <c r="I419" s="183" t="s">
        <v>1017</v>
      </c>
      <c r="J419" s="183" t="s">
        <v>12066</v>
      </c>
      <c r="K419">
        <v>0</v>
      </c>
      <c r="L419">
        <v>5</v>
      </c>
    </row>
    <row r="420" spans="1:12">
      <c r="A420" s="183" t="s">
        <v>4990</v>
      </c>
      <c r="B420" s="183" t="s">
        <v>4991</v>
      </c>
      <c r="C420">
        <v>50230318</v>
      </c>
      <c r="D420">
        <v>4</v>
      </c>
      <c r="E420">
        <v>0</v>
      </c>
      <c r="F420">
        <v>0</v>
      </c>
      <c r="G420">
        <v>0</v>
      </c>
      <c r="H420">
        <v>4</v>
      </c>
      <c r="I420" s="183" t="s">
        <v>1017</v>
      </c>
      <c r="J420" s="183" t="s">
        <v>12063</v>
      </c>
      <c r="K420">
        <v>0</v>
      </c>
      <c r="L420">
        <v>4</v>
      </c>
    </row>
    <row r="421" spans="1:12">
      <c r="A421" s="183" t="s">
        <v>3046</v>
      </c>
      <c r="B421" s="183" t="s">
        <v>3047</v>
      </c>
      <c r="C421">
        <v>50230518</v>
      </c>
      <c r="D421">
        <v>5</v>
      </c>
      <c r="E421">
        <v>0</v>
      </c>
      <c r="F421">
        <v>0</v>
      </c>
      <c r="G421">
        <v>0</v>
      </c>
      <c r="H421">
        <v>5</v>
      </c>
      <c r="I421" s="183" t="s">
        <v>1017</v>
      </c>
      <c r="J421" s="183" t="s">
        <v>12056</v>
      </c>
      <c r="K421">
        <v>0</v>
      </c>
      <c r="L421">
        <v>5</v>
      </c>
    </row>
    <row r="422" spans="1:12">
      <c r="A422" s="183" t="s">
        <v>6057</v>
      </c>
      <c r="B422" s="183" t="s">
        <v>6058</v>
      </c>
      <c r="C422">
        <v>50232118</v>
      </c>
      <c r="D422">
        <v>15</v>
      </c>
      <c r="E422">
        <v>0</v>
      </c>
      <c r="F422">
        <v>0</v>
      </c>
      <c r="G422">
        <v>0</v>
      </c>
      <c r="H422">
        <v>15</v>
      </c>
      <c r="I422" s="183" t="s">
        <v>1017</v>
      </c>
      <c r="J422" s="183" t="s">
        <v>12055</v>
      </c>
      <c r="K422">
        <v>0</v>
      </c>
      <c r="L422">
        <v>15</v>
      </c>
    </row>
    <row r="423" spans="1:12">
      <c r="A423" s="183" t="s">
        <v>6869</v>
      </c>
      <c r="B423" s="183" t="s">
        <v>6870</v>
      </c>
      <c r="C423">
        <v>50232318</v>
      </c>
      <c r="D423">
        <v>7</v>
      </c>
      <c r="E423">
        <v>0</v>
      </c>
      <c r="F423">
        <v>0</v>
      </c>
      <c r="G423">
        <v>0</v>
      </c>
      <c r="H423">
        <v>7</v>
      </c>
      <c r="I423" s="183" t="s">
        <v>1017</v>
      </c>
      <c r="J423" s="183" t="s">
        <v>12056</v>
      </c>
      <c r="K423">
        <v>0</v>
      </c>
      <c r="L423">
        <v>7</v>
      </c>
    </row>
    <row r="424" spans="1:12">
      <c r="A424" s="183" t="s">
        <v>7020</v>
      </c>
      <c r="B424" s="183" t="s">
        <v>7021</v>
      </c>
      <c r="C424">
        <v>50234209</v>
      </c>
      <c r="D424">
        <v>18</v>
      </c>
      <c r="E424">
        <v>0</v>
      </c>
      <c r="F424">
        <v>0</v>
      </c>
      <c r="G424">
        <v>0</v>
      </c>
      <c r="H424">
        <v>18</v>
      </c>
      <c r="I424" s="183" t="s">
        <v>1017</v>
      </c>
      <c r="J424" s="183" t="s">
        <v>12056</v>
      </c>
      <c r="K424">
        <v>0</v>
      </c>
      <c r="L424">
        <v>18</v>
      </c>
    </row>
    <row r="425" spans="1:12">
      <c r="A425" s="183" t="s">
        <v>6980</v>
      </c>
      <c r="B425" s="183" t="s">
        <v>6981</v>
      </c>
      <c r="C425">
        <v>50236109</v>
      </c>
      <c r="D425">
        <v>29</v>
      </c>
      <c r="E425">
        <v>0</v>
      </c>
      <c r="F425">
        <v>0</v>
      </c>
      <c r="G425">
        <v>0</v>
      </c>
      <c r="H425">
        <v>29</v>
      </c>
      <c r="I425" s="183" t="s">
        <v>1017</v>
      </c>
      <c r="J425" s="183" t="s">
        <v>12057</v>
      </c>
      <c r="K425">
        <v>0</v>
      </c>
      <c r="L425">
        <v>29</v>
      </c>
    </row>
    <row r="426" spans="1:12">
      <c r="A426" s="183" t="s">
        <v>7118</v>
      </c>
      <c r="B426" s="183" t="s">
        <v>7119</v>
      </c>
      <c r="C426">
        <v>50236209</v>
      </c>
      <c r="D426">
        <v>26</v>
      </c>
      <c r="E426">
        <v>0</v>
      </c>
      <c r="F426">
        <v>0</v>
      </c>
      <c r="G426">
        <v>0</v>
      </c>
      <c r="H426">
        <v>26</v>
      </c>
      <c r="I426" s="183" t="s">
        <v>1017</v>
      </c>
      <c r="J426" s="183" t="s">
        <v>12059</v>
      </c>
      <c r="K426">
        <v>0</v>
      </c>
      <c r="L426">
        <v>26</v>
      </c>
    </row>
    <row r="427" spans="1:12">
      <c r="A427" s="183" t="s">
        <v>3501</v>
      </c>
      <c r="B427" s="183" t="s">
        <v>3502</v>
      </c>
      <c r="C427">
        <v>50236218</v>
      </c>
      <c r="D427">
        <v>28</v>
      </c>
      <c r="E427">
        <v>0</v>
      </c>
      <c r="F427">
        <v>0</v>
      </c>
      <c r="G427">
        <v>0</v>
      </c>
      <c r="H427">
        <v>28</v>
      </c>
      <c r="I427" s="183" t="s">
        <v>1017</v>
      </c>
      <c r="J427" s="183" t="s">
        <v>12056</v>
      </c>
      <c r="K427">
        <v>0</v>
      </c>
      <c r="L427">
        <v>28</v>
      </c>
    </row>
    <row r="428" spans="1:12">
      <c r="A428" s="183" t="s">
        <v>7116</v>
      </c>
      <c r="B428" s="183" t="s">
        <v>7117</v>
      </c>
      <c r="C428">
        <v>50236309</v>
      </c>
      <c r="D428">
        <v>15</v>
      </c>
      <c r="E428">
        <v>0</v>
      </c>
      <c r="F428">
        <v>0</v>
      </c>
      <c r="G428">
        <v>0</v>
      </c>
      <c r="H428">
        <v>15</v>
      </c>
      <c r="I428" s="183" t="s">
        <v>1017</v>
      </c>
      <c r="J428" s="183" t="s">
        <v>12059</v>
      </c>
      <c r="K428">
        <v>0</v>
      </c>
      <c r="L428">
        <v>15</v>
      </c>
    </row>
    <row r="429" spans="1:12">
      <c r="A429" s="183" t="s">
        <v>6944</v>
      </c>
      <c r="B429" s="183" t="s">
        <v>6945</v>
      </c>
      <c r="C429">
        <v>50238109</v>
      </c>
      <c r="D429">
        <v>22</v>
      </c>
      <c r="E429">
        <v>0</v>
      </c>
      <c r="F429">
        <v>0</v>
      </c>
      <c r="G429">
        <v>0</v>
      </c>
      <c r="H429">
        <v>22</v>
      </c>
      <c r="I429" s="183" t="s">
        <v>1017</v>
      </c>
      <c r="J429" s="183" t="s">
        <v>12059</v>
      </c>
      <c r="K429">
        <v>0</v>
      </c>
      <c r="L429">
        <v>22</v>
      </c>
    </row>
    <row r="430" spans="1:12">
      <c r="A430" s="183" t="s">
        <v>6946</v>
      </c>
      <c r="B430" s="183" t="s">
        <v>6947</v>
      </c>
      <c r="C430">
        <v>50200101</v>
      </c>
      <c r="D430">
        <v>64</v>
      </c>
      <c r="E430">
        <v>0</v>
      </c>
      <c r="F430">
        <v>0</v>
      </c>
      <c r="G430">
        <v>0</v>
      </c>
      <c r="H430">
        <v>64</v>
      </c>
      <c r="I430" s="183" t="s">
        <v>1098</v>
      </c>
      <c r="J430" s="183" t="s">
        <v>12059</v>
      </c>
      <c r="K430">
        <v>0</v>
      </c>
      <c r="L430">
        <v>64</v>
      </c>
    </row>
    <row r="431" spans="1:12">
      <c r="A431" s="183" t="s">
        <v>6970</v>
      </c>
      <c r="B431" s="183" t="s">
        <v>6971</v>
      </c>
      <c r="C431">
        <v>50200103</v>
      </c>
      <c r="D431">
        <v>47</v>
      </c>
      <c r="E431">
        <v>0</v>
      </c>
      <c r="F431">
        <v>0</v>
      </c>
      <c r="G431">
        <v>0</v>
      </c>
      <c r="H431">
        <v>47</v>
      </c>
      <c r="I431" s="183" t="s">
        <v>1098</v>
      </c>
      <c r="J431" s="183" t="s">
        <v>12056</v>
      </c>
      <c r="K431">
        <v>0</v>
      </c>
      <c r="L431">
        <v>47</v>
      </c>
    </row>
    <row r="432" spans="1:12">
      <c r="A432" s="183" t="s">
        <v>2424</v>
      </c>
      <c r="B432" s="183" t="s">
        <v>2425</v>
      </c>
      <c r="C432">
        <v>50200215</v>
      </c>
      <c r="D432">
        <v>48</v>
      </c>
      <c r="E432">
        <v>0</v>
      </c>
      <c r="F432">
        <v>0</v>
      </c>
      <c r="G432">
        <v>0</v>
      </c>
      <c r="H432">
        <v>48</v>
      </c>
      <c r="I432" s="183" t="s">
        <v>1098</v>
      </c>
      <c r="J432" s="183" t="s">
        <v>12056</v>
      </c>
      <c r="K432">
        <v>0</v>
      </c>
      <c r="L432">
        <v>48</v>
      </c>
    </row>
    <row r="433" spans="1:12">
      <c r="A433" s="183" t="s">
        <v>11853</v>
      </c>
      <c r="B433" s="183" t="s">
        <v>11854</v>
      </c>
      <c r="C433">
        <v>50200310</v>
      </c>
      <c r="D433">
        <v>50</v>
      </c>
      <c r="E433">
        <v>0</v>
      </c>
      <c r="F433">
        <v>0</v>
      </c>
      <c r="G433">
        <v>0</v>
      </c>
      <c r="H433">
        <v>50</v>
      </c>
      <c r="I433" s="183" t="s">
        <v>1098</v>
      </c>
      <c r="J433" s="183" t="s">
        <v>12055</v>
      </c>
      <c r="K433">
        <v>0</v>
      </c>
      <c r="L433">
        <v>50</v>
      </c>
    </row>
    <row r="434" spans="1:12">
      <c r="A434" s="183" t="s">
        <v>8260</v>
      </c>
      <c r="B434" s="183" t="s">
        <v>8261</v>
      </c>
      <c r="C434">
        <v>50200316</v>
      </c>
      <c r="D434">
        <v>50</v>
      </c>
      <c r="E434">
        <v>0</v>
      </c>
      <c r="F434">
        <v>0</v>
      </c>
      <c r="G434">
        <v>0</v>
      </c>
      <c r="H434">
        <v>50</v>
      </c>
      <c r="I434" s="183" t="s">
        <v>1098</v>
      </c>
      <c r="J434" s="183" t="s">
        <v>12052</v>
      </c>
      <c r="K434">
        <v>0</v>
      </c>
      <c r="L434">
        <v>50</v>
      </c>
    </row>
    <row r="435" spans="1:12">
      <c r="A435" s="183" t="s">
        <v>6059</v>
      </c>
      <c r="B435" s="183" t="s">
        <v>6060</v>
      </c>
      <c r="C435">
        <v>50201210</v>
      </c>
      <c r="D435">
        <v>58</v>
      </c>
      <c r="E435">
        <v>0</v>
      </c>
      <c r="F435">
        <v>0</v>
      </c>
      <c r="G435">
        <v>0</v>
      </c>
      <c r="H435">
        <v>58</v>
      </c>
      <c r="I435" s="183" t="s">
        <v>1098</v>
      </c>
      <c r="J435" s="183" t="s">
        <v>12058</v>
      </c>
      <c r="K435">
        <v>0</v>
      </c>
      <c r="L435">
        <v>58</v>
      </c>
    </row>
    <row r="436" spans="1:12">
      <c r="A436" s="183" t="s">
        <v>6904</v>
      </c>
      <c r="B436" s="183" t="s">
        <v>6905</v>
      </c>
      <c r="C436">
        <v>50202102</v>
      </c>
      <c r="D436">
        <v>47</v>
      </c>
      <c r="E436">
        <v>0</v>
      </c>
      <c r="F436">
        <v>0</v>
      </c>
      <c r="G436">
        <v>0</v>
      </c>
      <c r="H436">
        <v>47</v>
      </c>
      <c r="I436" s="183" t="s">
        <v>1098</v>
      </c>
      <c r="J436" s="183" t="s">
        <v>12052</v>
      </c>
      <c r="K436">
        <v>0</v>
      </c>
      <c r="L436">
        <v>47</v>
      </c>
    </row>
    <row r="437" spans="1:12">
      <c r="A437" s="183" t="s">
        <v>2642</v>
      </c>
      <c r="B437" s="183" t="s">
        <v>2643</v>
      </c>
      <c r="C437">
        <v>50202116</v>
      </c>
      <c r="D437">
        <v>49</v>
      </c>
      <c r="E437">
        <v>0</v>
      </c>
      <c r="F437">
        <v>0</v>
      </c>
      <c r="G437">
        <v>0</v>
      </c>
      <c r="H437">
        <v>49</v>
      </c>
      <c r="I437" s="183" t="s">
        <v>1098</v>
      </c>
      <c r="J437" s="183" t="s">
        <v>12057</v>
      </c>
      <c r="K437">
        <v>0</v>
      </c>
      <c r="L437">
        <v>49</v>
      </c>
    </row>
    <row r="438" spans="1:12">
      <c r="A438" s="183" t="s">
        <v>2119</v>
      </c>
      <c r="B438" s="183" t="s">
        <v>2120</v>
      </c>
      <c r="C438">
        <v>50202315</v>
      </c>
      <c r="D438">
        <v>50</v>
      </c>
      <c r="E438">
        <v>0</v>
      </c>
      <c r="F438">
        <v>0</v>
      </c>
      <c r="G438">
        <v>0</v>
      </c>
      <c r="H438">
        <v>50</v>
      </c>
      <c r="I438" s="183" t="s">
        <v>1098</v>
      </c>
      <c r="J438" s="183" t="s">
        <v>12058</v>
      </c>
      <c r="K438">
        <v>0</v>
      </c>
      <c r="L438">
        <v>50</v>
      </c>
    </row>
    <row r="439" spans="1:12">
      <c r="A439" s="183" t="s">
        <v>2640</v>
      </c>
      <c r="B439" s="183" t="s">
        <v>2641</v>
      </c>
      <c r="C439">
        <v>50202501</v>
      </c>
      <c r="D439">
        <v>39</v>
      </c>
      <c r="E439">
        <v>0</v>
      </c>
      <c r="F439">
        <v>0</v>
      </c>
      <c r="G439">
        <v>0</v>
      </c>
      <c r="H439">
        <v>39</v>
      </c>
      <c r="I439" s="183" t="s">
        <v>1098</v>
      </c>
      <c r="J439" s="183" t="s">
        <v>12060</v>
      </c>
      <c r="K439">
        <v>0</v>
      </c>
      <c r="L439">
        <v>39</v>
      </c>
    </row>
    <row r="440" spans="1:12">
      <c r="A440" s="183" t="s">
        <v>8326</v>
      </c>
      <c r="B440" s="183" t="s">
        <v>8327</v>
      </c>
      <c r="C440">
        <v>50203102</v>
      </c>
      <c r="D440">
        <v>46</v>
      </c>
      <c r="E440">
        <v>0</v>
      </c>
      <c r="F440">
        <v>0</v>
      </c>
      <c r="G440">
        <v>0</v>
      </c>
      <c r="H440">
        <v>46</v>
      </c>
      <c r="I440" s="183" t="s">
        <v>1098</v>
      </c>
      <c r="J440" s="183" t="s">
        <v>12054</v>
      </c>
      <c r="K440">
        <v>0</v>
      </c>
      <c r="L440">
        <v>46</v>
      </c>
    </row>
    <row r="441" spans="1:12">
      <c r="A441" s="183" t="s">
        <v>2400</v>
      </c>
      <c r="B441" s="183" t="s">
        <v>2401</v>
      </c>
      <c r="C441">
        <v>50203110</v>
      </c>
      <c r="D441">
        <v>49</v>
      </c>
      <c r="E441">
        <v>0</v>
      </c>
      <c r="F441">
        <v>0</v>
      </c>
      <c r="G441">
        <v>0</v>
      </c>
      <c r="H441">
        <v>49</v>
      </c>
      <c r="I441" s="183" t="s">
        <v>1098</v>
      </c>
      <c r="J441" s="183" t="s">
        <v>12061</v>
      </c>
      <c r="K441">
        <v>0</v>
      </c>
      <c r="L441">
        <v>49</v>
      </c>
    </row>
    <row r="442" spans="1:12">
      <c r="A442" s="183" t="s">
        <v>1618</v>
      </c>
      <c r="B442" s="183" t="s">
        <v>1619</v>
      </c>
      <c r="C442">
        <v>50203201</v>
      </c>
      <c r="D442">
        <v>50</v>
      </c>
      <c r="E442">
        <v>0</v>
      </c>
      <c r="F442">
        <v>0</v>
      </c>
      <c r="G442">
        <v>0</v>
      </c>
      <c r="H442">
        <v>50</v>
      </c>
      <c r="I442" s="183" t="s">
        <v>1098</v>
      </c>
      <c r="J442" s="183" t="s">
        <v>12054</v>
      </c>
      <c r="K442">
        <v>0</v>
      </c>
      <c r="L442">
        <v>50</v>
      </c>
    </row>
    <row r="443" spans="1:12">
      <c r="A443" s="183" t="s">
        <v>1766</v>
      </c>
      <c r="B443" s="183" t="s">
        <v>1767</v>
      </c>
      <c r="C443">
        <v>50203208</v>
      </c>
      <c r="D443">
        <v>42</v>
      </c>
      <c r="E443">
        <v>0</v>
      </c>
      <c r="F443">
        <v>0</v>
      </c>
      <c r="G443">
        <v>0</v>
      </c>
      <c r="H443">
        <v>42</v>
      </c>
      <c r="I443" s="183" t="s">
        <v>1098</v>
      </c>
      <c r="J443" s="183" t="s">
        <v>12055</v>
      </c>
      <c r="K443">
        <v>0</v>
      </c>
      <c r="L443">
        <v>42</v>
      </c>
    </row>
    <row r="444" spans="1:12">
      <c r="A444" s="183" t="s">
        <v>2102</v>
      </c>
      <c r="B444" s="183" t="s">
        <v>2103</v>
      </c>
      <c r="C444">
        <v>50203217</v>
      </c>
      <c r="D444">
        <v>49</v>
      </c>
      <c r="E444">
        <v>0</v>
      </c>
      <c r="F444">
        <v>0</v>
      </c>
      <c r="G444">
        <v>0</v>
      </c>
      <c r="H444">
        <v>49</v>
      </c>
      <c r="I444" s="183" t="s">
        <v>1098</v>
      </c>
      <c r="J444" s="183" t="s">
        <v>12054</v>
      </c>
      <c r="K444">
        <v>0</v>
      </c>
      <c r="L444">
        <v>49</v>
      </c>
    </row>
    <row r="445" spans="1:12">
      <c r="A445" s="183" t="s">
        <v>8284</v>
      </c>
      <c r="B445" s="183" t="s">
        <v>8285</v>
      </c>
      <c r="C445">
        <v>50203315</v>
      </c>
      <c r="D445">
        <v>50</v>
      </c>
      <c r="E445">
        <v>0</v>
      </c>
      <c r="F445">
        <v>0</v>
      </c>
      <c r="G445">
        <v>0</v>
      </c>
      <c r="H445">
        <v>50</v>
      </c>
      <c r="I445" s="183" t="s">
        <v>1098</v>
      </c>
      <c r="J445" s="183" t="s">
        <v>12054</v>
      </c>
      <c r="K445">
        <v>0</v>
      </c>
      <c r="L445">
        <v>50</v>
      </c>
    </row>
    <row r="446" spans="1:12">
      <c r="A446" s="183" t="s">
        <v>2394</v>
      </c>
      <c r="B446" s="183" t="s">
        <v>2395</v>
      </c>
      <c r="C446">
        <v>50203502</v>
      </c>
      <c r="D446">
        <v>50</v>
      </c>
      <c r="E446">
        <v>0</v>
      </c>
      <c r="F446">
        <v>0</v>
      </c>
      <c r="G446">
        <v>0</v>
      </c>
      <c r="H446">
        <v>50</v>
      </c>
      <c r="I446" s="183" t="s">
        <v>1098</v>
      </c>
      <c r="J446" s="183" t="s">
        <v>12059</v>
      </c>
      <c r="K446">
        <v>0</v>
      </c>
      <c r="L446">
        <v>50</v>
      </c>
    </row>
    <row r="447" spans="1:12">
      <c r="A447" s="183" t="s">
        <v>1958</v>
      </c>
      <c r="B447" s="183" t="s">
        <v>1959</v>
      </c>
      <c r="C447">
        <v>50204201</v>
      </c>
      <c r="D447">
        <v>48</v>
      </c>
      <c r="E447">
        <v>0</v>
      </c>
      <c r="F447">
        <v>0</v>
      </c>
      <c r="G447">
        <v>0</v>
      </c>
      <c r="H447">
        <v>48</v>
      </c>
      <c r="I447" s="183" t="s">
        <v>1098</v>
      </c>
      <c r="J447" s="183" t="s">
        <v>12058</v>
      </c>
      <c r="K447">
        <v>0</v>
      </c>
      <c r="L447">
        <v>48</v>
      </c>
    </row>
    <row r="448" spans="1:12">
      <c r="A448" s="183" t="s">
        <v>1435</v>
      </c>
      <c r="B448" s="183" t="s">
        <v>1436</v>
      </c>
      <c r="C448">
        <v>50204203</v>
      </c>
      <c r="D448">
        <v>49</v>
      </c>
      <c r="E448">
        <v>0</v>
      </c>
      <c r="F448">
        <v>0</v>
      </c>
      <c r="G448">
        <v>0</v>
      </c>
      <c r="H448">
        <v>49</v>
      </c>
      <c r="I448" s="183" t="s">
        <v>1098</v>
      </c>
      <c r="J448" s="183" t="s">
        <v>12054</v>
      </c>
      <c r="K448">
        <v>0</v>
      </c>
      <c r="L448">
        <v>49</v>
      </c>
    </row>
    <row r="449" spans="1:12">
      <c r="A449" s="183" t="s">
        <v>1967</v>
      </c>
      <c r="B449" s="183" t="s">
        <v>1968</v>
      </c>
      <c r="C449">
        <v>50205208</v>
      </c>
      <c r="D449">
        <v>50</v>
      </c>
      <c r="E449">
        <v>0</v>
      </c>
      <c r="F449">
        <v>0</v>
      </c>
      <c r="G449">
        <v>0</v>
      </c>
      <c r="H449">
        <v>50</v>
      </c>
      <c r="I449" s="183" t="s">
        <v>1098</v>
      </c>
      <c r="J449" s="183" t="s">
        <v>12061</v>
      </c>
      <c r="K449">
        <v>0</v>
      </c>
      <c r="L449">
        <v>50</v>
      </c>
    </row>
    <row r="450" spans="1:12">
      <c r="A450" s="183" t="s">
        <v>8051</v>
      </c>
      <c r="B450" s="183" t="s">
        <v>8052</v>
      </c>
      <c r="C450">
        <v>50205317</v>
      </c>
      <c r="D450">
        <v>83</v>
      </c>
      <c r="E450">
        <v>0</v>
      </c>
      <c r="F450">
        <v>0</v>
      </c>
      <c r="G450">
        <v>0</v>
      </c>
      <c r="H450">
        <v>83</v>
      </c>
      <c r="I450" s="183" t="s">
        <v>1098</v>
      </c>
      <c r="J450" s="183" t="s">
        <v>12057</v>
      </c>
      <c r="K450">
        <v>0</v>
      </c>
      <c r="L450">
        <v>83</v>
      </c>
    </row>
    <row r="451" spans="1:12">
      <c r="A451" s="183" t="s">
        <v>1614</v>
      </c>
      <c r="B451" s="183" t="s">
        <v>1615</v>
      </c>
      <c r="C451">
        <v>50205415</v>
      </c>
      <c r="D451">
        <v>50</v>
      </c>
      <c r="E451">
        <v>0</v>
      </c>
      <c r="F451">
        <v>0</v>
      </c>
      <c r="G451">
        <v>0</v>
      </c>
      <c r="H451">
        <v>50</v>
      </c>
      <c r="I451" s="183" t="s">
        <v>1098</v>
      </c>
      <c r="J451" s="183" t="s">
        <v>12063</v>
      </c>
      <c r="K451">
        <v>0</v>
      </c>
      <c r="L451">
        <v>50</v>
      </c>
    </row>
    <row r="452" spans="1:12">
      <c r="A452" s="183" t="s">
        <v>5223</v>
      </c>
      <c r="B452" s="183" t="s">
        <v>5224</v>
      </c>
      <c r="C452" t="s">
        <v>12077</v>
      </c>
      <c r="D452">
        <v>733</v>
      </c>
      <c r="E452">
        <v>0</v>
      </c>
      <c r="F452">
        <v>0</v>
      </c>
      <c r="G452">
        <v>0</v>
      </c>
      <c r="H452">
        <v>733</v>
      </c>
      <c r="I452" s="183" t="s">
        <v>1324</v>
      </c>
      <c r="J452" s="183" t="s">
        <v>12050</v>
      </c>
      <c r="K452">
        <v>0</v>
      </c>
      <c r="L452">
        <v>733</v>
      </c>
    </row>
    <row r="453" spans="1:12">
      <c r="A453" s="183" t="s">
        <v>5691</v>
      </c>
      <c r="B453" s="183" t="s">
        <v>5692</v>
      </c>
      <c r="C453" t="s">
        <v>12078</v>
      </c>
      <c r="D453" s="501">
        <v>1877</v>
      </c>
      <c r="E453">
        <v>0</v>
      </c>
      <c r="F453">
        <v>0</v>
      </c>
      <c r="G453">
        <v>0</v>
      </c>
      <c r="H453" s="501">
        <v>1877</v>
      </c>
      <c r="I453" s="183" t="s">
        <v>1324</v>
      </c>
      <c r="J453" s="183" t="s">
        <v>12063</v>
      </c>
      <c r="K453">
        <v>0</v>
      </c>
      <c r="L453" s="501">
        <v>1877</v>
      </c>
    </row>
    <row r="454" spans="1:12">
      <c r="A454" s="183" t="s">
        <v>7641</v>
      </c>
      <c r="B454" s="183" t="s">
        <v>7642</v>
      </c>
      <c r="C454" t="s">
        <v>12079</v>
      </c>
      <c r="D454">
        <v>151</v>
      </c>
      <c r="E454">
        <v>0</v>
      </c>
      <c r="F454">
        <v>0</v>
      </c>
      <c r="G454">
        <v>0</v>
      </c>
      <c r="H454">
        <v>151</v>
      </c>
      <c r="I454" s="183" t="s">
        <v>1324</v>
      </c>
      <c r="J454" s="183" t="s">
        <v>12061</v>
      </c>
      <c r="K454">
        <v>0</v>
      </c>
      <c r="L454">
        <v>151</v>
      </c>
    </row>
    <row r="455" spans="1:12">
      <c r="A455" s="183" t="s">
        <v>8773</v>
      </c>
      <c r="B455" s="183" t="s">
        <v>8774</v>
      </c>
      <c r="C455" t="s">
        <v>12080</v>
      </c>
      <c r="D455">
        <v>961</v>
      </c>
      <c r="E455">
        <v>0</v>
      </c>
      <c r="F455">
        <v>0</v>
      </c>
      <c r="G455">
        <v>0</v>
      </c>
      <c r="H455">
        <v>961</v>
      </c>
      <c r="I455" s="183" t="s">
        <v>1324</v>
      </c>
      <c r="J455" s="183" t="s">
        <v>12066</v>
      </c>
      <c r="K455">
        <v>0</v>
      </c>
      <c r="L455">
        <v>961</v>
      </c>
    </row>
    <row r="456" spans="1:12">
      <c r="A456" s="183" t="s">
        <v>27</v>
      </c>
      <c r="B456" s="183" t="s">
        <v>28</v>
      </c>
      <c r="C456">
        <v>16870209</v>
      </c>
      <c r="D456">
        <v>21</v>
      </c>
      <c r="E456">
        <v>0</v>
      </c>
      <c r="F456">
        <v>0</v>
      </c>
      <c r="G456">
        <v>0</v>
      </c>
      <c r="H456">
        <v>21</v>
      </c>
      <c r="I456" s="183" t="s">
        <v>1110</v>
      </c>
      <c r="J456" s="183" t="s">
        <v>12053</v>
      </c>
      <c r="K456">
        <v>0</v>
      </c>
      <c r="L456">
        <v>21</v>
      </c>
    </row>
    <row r="457" spans="1:12">
      <c r="A457" s="183" t="s">
        <v>6620</v>
      </c>
      <c r="B457" s="183" t="s">
        <v>6621</v>
      </c>
      <c r="C457">
        <v>16870236</v>
      </c>
      <c r="D457">
        <v>3</v>
      </c>
      <c r="E457">
        <v>0</v>
      </c>
      <c r="F457">
        <v>0</v>
      </c>
      <c r="G457">
        <v>0</v>
      </c>
      <c r="H457">
        <v>3</v>
      </c>
      <c r="I457" s="183" t="s">
        <v>1110</v>
      </c>
      <c r="J457" s="183" t="s">
        <v>12055</v>
      </c>
      <c r="K457">
        <v>0</v>
      </c>
      <c r="L457">
        <v>3</v>
      </c>
    </row>
    <row r="458" spans="1:12">
      <c r="A458" s="183" t="s">
        <v>6667</v>
      </c>
      <c r="B458" s="183" t="s">
        <v>6668</v>
      </c>
      <c r="C458">
        <v>10850192</v>
      </c>
      <c r="D458">
        <v>70</v>
      </c>
      <c r="E458">
        <v>0</v>
      </c>
      <c r="F458">
        <v>0</v>
      </c>
      <c r="G458">
        <v>0</v>
      </c>
      <c r="H458">
        <v>70</v>
      </c>
      <c r="I458" s="183" t="s">
        <v>6632</v>
      </c>
      <c r="J458" s="183" t="s">
        <v>12061</v>
      </c>
      <c r="K458">
        <v>0</v>
      </c>
      <c r="L458">
        <v>70</v>
      </c>
    </row>
    <row r="459" spans="1:12">
      <c r="A459" s="183" t="s">
        <v>6719</v>
      </c>
      <c r="B459" s="183" t="s">
        <v>6720</v>
      </c>
      <c r="C459">
        <v>10850190</v>
      </c>
      <c r="D459">
        <v>68</v>
      </c>
      <c r="E459">
        <v>0</v>
      </c>
      <c r="F459">
        <v>0</v>
      </c>
      <c r="G459">
        <v>0</v>
      </c>
      <c r="H459">
        <v>68</v>
      </c>
      <c r="I459" s="183" t="s">
        <v>6632</v>
      </c>
      <c r="J459" s="183" t="s">
        <v>12052</v>
      </c>
      <c r="K459">
        <v>0</v>
      </c>
      <c r="L459">
        <v>68</v>
      </c>
    </row>
    <row r="460" spans="1:12">
      <c r="A460" s="183" t="s">
        <v>6776</v>
      </c>
      <c r="B460" s="183" t="s">
        <v>6777</v>
      </c>
      <c r="C460">
        <v>10850189</v>
      </c>
      <c r="D460">
        <v>89</v>
      </c>
      <c r="E460">
        <v>0</v>
      </c>
      <c r="F460">
        <v>0</v>
      </c>
      <c r="G460">
        <v>0</v>
      </c>
      <c r="H460">
        <v>89</v>
      </c>
      <c r="I460" s="183" t="s">
        <v>6632</v>
      </c>
      <c r="J460" s="183" t="s">
        <v>12052</v>
      </c>
      <c r="K460">
        <v>0</v>
      </c>
      <c r="L460">
        <v>89</v>
      </c>
    </row>
    <row r="461" spans="1:12">
      <c r="A461" s="183" t="s">
        <v>6774</v>
      </c>
      <c r="B461" s="183" t="s">
        <v>6775</v>
      </c>
      <c r="C461">
        <v>10850188</v>
      </c>
      <c r="D461">
        <v>28</v>
      </c>
      <c r="E461">
        <v>0</v>
      </c>
      <c r="F461">
        <v>0</v>
      </c>
      <c r="G461">
        <v>0</v>
      </c>
      <c r="H461">
        <v>28</v>
      </c>
      <c r="I461" s="183" t="s">
        <v>6632</v>
      </c>
      <c r="J461" s="183" t="s">
        <v>12056</v>
      </c>
      <c r="K461">
        <v>0</v>
      </c>
      <c r="L461">
        <v>28</v>
      </c>
    </row>
    <row r="462" spans="1:12">
      <c r="A462" s="183" t="s">
        <v>6758</v>
      </c>
      <c r="B462" s="183" t="s">
        <v>6759</v>
      </c>
      <c r="C462">
        <v>10850184</v>
      </c>
      <c r="D462">
        <v>13</v>
      </c>
      <c r="E462">
        <v>0</v>
      </c>
      <c r="F462">
        <v>0</v>
      </c>
      <c r="G462">
        <v>0</v>
      </c>
      <c r="H462">
        <v>13</v>
      </c>
      <c r="I462" s="183" t="s">
        <v>6632</v>
      </c>
      <c r="J462" s="183" t="s">
        <v>12058</v>
      </c>
      <c r="K462">
        <v>0</v>
      </c>
      <c r="L462">
        <v>13</v>
      </c>
    </row>
    <row r="463" spans="1:12">
      <c r="A463" s="183" t="s">
        <v>6721</v>
      </c>
      <c r="B463" s="183" t="s">
        <v>6722</v>
      </c>
      <c r="C463">
        <v>10850179</v>
      </c>
      <c r="D463">
        <v>28</v>
      </c>
      <c r="E463">
        <v>0</v>
      </c>
      <c r="F463">
        <v>0</v>
      </c>
      <c r="G463">
        <v>0</v>
      </c>
      <c r="H463">
        <v>28</v>
      </c>
      <c r="I463" s="183" t="s">
        <v>6632</v>
      </c>
      <c r="J463" s="183" t="s">
        <v>12056</v>
      </c>
      <c r="K463">
        <v>0</v>
      </c>
      <c r="L463">
        <v>28</v>
      </c>
    </row>
    <row r="464" spans="1:12">
      <c r="A464" s="183" t="s">
        <v>6737</v>
      </c>
      <c r="B464" s="183" t="s">
        <v>6738</v>
      </c>
      <c r="C464">
        <v>10850164</v>
      </c>
      <c r="D464">
        <v>82</v>
      </c>
      <c r="E464">
        <v>0</v>
      </c>
      <c r="F464">
        <v>0</v>
      </c>
      <c r="G464">
        <v>0</v>
      </c>
      <c r="H464">
        <v>82</v>
      </c>
      <c r="I464" s="183" t="s">
        <v>6632</v>
      </c>
      <c r="J464" s="183" t="s">
        <v>12060</v>
      </c>
      <c r="K464">
        <v>0</v>
      </c>
      <c r="L464">
        <v>82</v>
      </c>
    </row>
    <row r="465" spans="1:12">
      <c r="A465" s="183" t="s">
        <v>6681</v>
      </c>
      <c r="B465" s="183" t="s">
        <v>6682</v>
      </c>
      <c r="C465">
        <v>10850140</v>
      </c>
      <c r="D465">
        <v>77</v>
      </c>
      <c r="E465">
        <v>0</v>
      </c>
      <c r="F465">
        <v>0</v>
      </c>
      <c r="G465">
        <v>0</v>
      </c>
      <c r="H465">
        <v>77</v>
      </c>
      <c r="I465" s="183" t="s">
        <v>6632</v>
      </c>
      <c r="J465" s="183" t="s">
        <v>12059</v>
      </c>
      <c r="K465">
        <v>0</v>
      </c>
      <c r="L465">
        <v>77</v>
      </c>
    </row>
    <row r="466" spans="1:12">
      <c r="A466" s="183" t="s">
        <v>6705</v>
      </c>
      <c r="B466" s="183" t="s">
        <v>6706</v>
      </c>
      <c r="C466">
        <v>10850120</v>
      </c>
      <c r="D466">
        <v>95</v>
      </c>
      <c r="E466">
        <v>0</v>
      </c>
      <c r="F466">
        <v>0</v>
      </c>
      <c r="G466">
        <v>0</v>
      </c>
      <c r="H466">
        <v>95</v>
      </c>
      <c r="I466" s="183" t="s">
        <v>6632</v>
      </c>
      <c r="J466" s="183" t="s">
        <v>12054</v>
      </c>
      <c r="K466">
        <v>0</v>
      </c>
      <c r="L466">
        <v>95</v>
      </c>
    </row>
    <row r="467" spans="1:12">
      <c r="A467" s="183" t="s">
        <v>6794</v>
      </c>
      <c r="B467" s="183" t="s">
        <v>6795</v>
      </c>
      <c r="C467">
        <v>10850200</v>
      </c>
      <c r="D467">
        <v>62</v>
      </c>
      <c r="E467">
        <v>0</v>
      </c>
      <c r="F467">
        <v>0</v>
      </c>
      <c r="G467">
        <v>0</v>
      </c>
      <c r="H467">
        <v>62</v>
      </c>
      <c r="I467" s="183" t="s">
        <v>6632</v>
      </c>
      <c r="J467" s="183" t="s">
        <v>12052</v>
      </c>
      <c r="K467">
        <v>0</v>
      </c>
      <c r="L467">
        <v>62</v>
      </c>
    </row>
    <row r="468" spans="1:12">
      <c r="A468" s="183" t="s">
        <v>6739</v>
      </c>
      <c r="B468" s="183" t="s">
        <v>6740</v>
      </c>
      <c r="C468">
        <v>10850209</v>
      </c>
      <c r="D468">
        <v>7</v>
      </c>
      <c r="E468">
        <v>0</v>
      </c>
      <c r="F468">
        <v>0</v>
      </c>
      <c r="G468">
        <v>0</v>
      </c>
      <c r="H468">
        <v>7</v>
      </c>
      <c r="I468" s="183" t="s">
        <v>6632</v>
      </c>
      <c r="J468" s="183" t="s">
        <v>12052</v>
      </c>
      <c r="K468">
        <v>0</v>
      </c>
      <c r="L468">
        <v>7</v>
      </c>
    </row>
    <row r="469" spans="1:12">
      <c r="A469" s="183" t="s">
        <v>6637</v>
      </c>
      <c r="B469" s="183" t="s">
        <v>6638</v>
      </c>
      <c r="C469">
        <v>10850216</v>
      </c>
      <c r="D469">
        <v>39</v>
      </c>
      <c r="E469">
        <v>0</v>
      </c>
      <c r="F469">
        <v>0</v>
      </c>
      <c r="G469">
        <v>0</v>
      </c>
      <c r="H469">
        <v>39</v>
      </c>
      <c r="I469" s="183" t="s">
        <v>6632</v>
      </c>
      <c r="J469" s="183" t="s">
        <v>12056</v>
      </c>
      <c r="K469">
        <v>0</v>
      </c>
      <c r="L469">
        <v>39</v>
      </c>
    </row>
    <row r="470" spans="1:12">
      <c r="A470" s="183" t="s">
        <v>6875</v>
      </c>
      <c r="B470" s="183" t="s">
        <v>6876</v>
      </c>
      <c r="C470">
        <v>10850236</v>
      </c>
      <c r="D470">
        <v>26</v>
      </c>
      <c r="E470">
        <v>0</v>
      </c>
      <c r="F470">
        <v>0</v>
      </c>
      <c r="G470">
        <v>0</v>
      </c>
      <c r="H470">
        <v>26</v>
      </c>
      <c r="I470" s="183" t="s">
        <v>6632</v>
      </c>
      <c r="J470" s="183" t="s">
        <v>12058</v>
      </c>
      <c r="K470">
        <v>0</v>
      </c>
      <c r="L470">
        <v>26</v>
      </c>
    </row>
    <row r="471" spans="1:12">
      <c r="A471" s="183" t="s">
        <v>6647</v>
      </c>
      <c r="B471" s="183" t="s">
        <v>6648</v>
      </c>
      <c r="C471">
        <v>10850262</v>
      </c>
      <c r="D471">
        <v>7</v>
      </c>
      <c r="E471">
        <v>0</v>
      </c>
      <c r="F471">
        <v>0</v>
      </c>
      <c r="G471">
        <v>0</v>
      </c>
      <c r="H471">
        <v>7</v>
      </c>
      <c r="I471" s="183" t="s">
        <v>6632</v>
      </c>
      <c r="J471" s="183" t="s">
        <v>12057</v>
      </c>
      <c r="K471">
        <v>0</v>
      </c>
      <c r="L471">
        <v>7</v>
      </c>
    </row>
    <row r="472" spans="1:12">
      <c r="A472" s="183" t="s">
        <v>6760</v>
      </c>
      <c r="B472" s="183" t="s">
        <v>6761</v>
      </c>
      <c r="C472">
        <v>10850264</v>
      </c>
      <c r="D472">
        <v>47</v>
      </c>
      <c r="E472">
        <v>0</v>
      </c>
      <c r="F472">
        <v>0</v>
      </c>
      <c r="G472">
        <v>0</v>
      </c>
      <c r="H472">
        <v>47</v>
      </c>
      <c r="I472" s="183" t="s">
        <v>6632</v>
      </c>
      <c r="J472" s="183" t="s">
        <v>12052</v>
      </c>
      <c r="K472">
        <v>0</v>
      </c>
      <c r="L472">
        <v>47</v>
      </c>
    </row>
    <row r="473" spans="1:12">
      <c r="A473" s="183" t="s">
        <v>6756</v>
      </c>
      <c r="B473" s="183" t="s">
        <v>6757</v>
      </c>
      <c r="C473">
        <v>10850278</v>
      </c>
      <c r="D473">
        <v>79</v>
      </c>
      <c r="E473">
        <v>0</v>
      </c>
      <c r="F473">
        <v>0</v>
      </c>
      <c r="G473">
        <v>0</v>
      </c>
      <c r="H473">
        <v>79</v>
      </c>
      <c r="I473" s="183" t="s">
        <v>6632</v>
      </c>
      <c r="J473" s="183" t="s">
        <v>12052</v>
      </c>
      <c r="K473">
        <v>0</v>
      </c>
      <c r="L473">
        <v>79</v>
      </c>
    </row>
    <row r="474" spans="1:12">
      <c r="A474" s="183" t="s">
        <v>8664</v>
      </c>
      <c r="B474" s="183" t="s">
        <v>8665</v>
      </c>
      <c r="C474">
        <v>10870206</v>
      </c>
      <c r="D474">
        <v>45</v>
      </c>
      <c r="E474">
        <v>0</v>
      </c>
      <c r="F474">
        <v>0</v>
      </c>
      <c r="G474">
        <v>0</v>
      </c>
      <c r="H474">
        <v>45</v>
      </c>
      <c r="I474" s="183" t="s">
        <v>7602</v>
      </c>
      <c r="J474" s="183" t="s">
        <v>12061</v>
      </c>
      <c r="K474">
        <v>0</v>
      </c>
      <c r="L474">
        <v>45</v>
      </c>
    </row>
    <row r="475" spans="1:12">
      <c r="A475" s="183" t="s">
        <v>8904</v>
      </c>
      <c r="B475" s="183" t="s">
        <v>8905</v>
      </c>
      <c r="C475">
        <v>10870208</v>
      </c>
      <c r="D475">
        <v>24</v>
      </c>
      <c r="E475">
        <v>0</v>
      </c>
      <c r="F475">
        <v>0</v>
      </c>
      <c r="G475">
        <v>0</v>
      </c>
      <c r="H475">
        <v>24</v>
      </c>
      <c r="I475" s="183" t="s">
        <v>7602</v>
      </c>
      <c r="J475" s="183" t="s">
        <v>12052</v>
      </c>
      <c r="K475">
        <v>0</v>
      </c>
      <c r="L475">
        <v>24</v>
      </c>
    </row>
    <row r="476" spans="1:12">
      <c r="A476" s="183" t="s">
        <v>7649</v>
      </c>
      <c r="B476" s="183" t="s">
        <v>7650</v>
      </c>
      <c r="C476">
        <v>10870210</v>
      </c>
      <c r="D476">
        <v>30</v>
      </c>
      <c r="E476">
        <v>0</v>
      </c>
      <c r="F476">
        <v>0</v>
      </c>
      <c r="G476">
        <v>0</v>
      </c>
      <c r="H476">
        <v>30</v>
      </c>
      <c r="I476" s="183" t="s">
        <v>7602</v>
      </c>
      <c r="J476" s="183" t="s">
        <v>12059</v>
      </c>
      <c r="K476">
        <v>0</v>
      </c>
      <c r="L476">
        <v>30</v>
      </c>
    </row>
    <row r="477" spans="1:12">
      <c r="A477" s="183" t="s">
        <v>8658</v>
      </c>
      <c r="B477" s="183" t="s">
        <v>8659</v>
      </c>
      <c r="C477">
        <v>10870212</v>
      </c>
      <c r="D477">
        <v>26</v>
      </c>
      <c r="E477">
        <v>0</v>
      </c>
      <c r="F477">
        <v>0</v>
      </c>
      <c r="G477">
        <v>0</v>
      </c>
      <c r="H477">
        <v>26</v>
      </c>
      <c r="I477" s="183" t="s">
        <v>7602</v>
      </c>
      <c r="J477" s="183" t="s">
        <v>12054</v>
      </c>
      <c r="K477">
        <v>0</v>
      </c>
      <c r="L477">
        <v>26</v>
      </c>
    </row>
    <row r="478" spans="1:12">
      <c r="A478" s="183" t="s">
        <v>7600</v>
      </c>
      <c r="B478" s="183" t="s">
        <v>7601</v>
      </c>
      <c r="C478">
        <v>10870219</v>
      </c>
      <c r="D478">
        <v>17</v>
      </c>
      <c r="E478">
        <v>0</v>
      </c>
      <c r="F478">
        <v>0</v>
      </c>
      <c r="G478">
        <v>0</v>
      </c>
      <c r="H478">
        <v>17</v>
      </c>
      <c r="I478" s="183" t="s">
        <v>7602</v>
      </c>
      <c r="J478" s="183" t="s">
        <v>12057</v>
      </c>
      <c r="K478">
        <v>0</v>
      </c>
      <c r="L478">
        <v>17</v>
      </c>
    </row>
    <row r="479" spans="1:12">
      <c r="A479" s="183" t="s">
        <v>7627</v>
      </c>
      <c r="B479" s="183" t="s">
        <v>7628</v>
      </c>
      <c r="C479">
        <v>10870220</v>
      </c>
      <c r="D479">
        <v>30</v>
      </c>
      <c r="E479">
        <v>0</v>
      </c>
      <c r="F479">
        <v>0</v>
      </c>
      <c r="G479">
        <v>0</v>
      </c>
      <c r="H479">
        <v>30</v>
      </c>
      <c r="I479" s="183" t="s">
        <v>7602</v>
      </c>
      <c r="J479" s="183" t="s">
        <v>12054</v>
      </c>
      <c r="K479">
        <v>0</v>
      </c>
      <c r="L479">
        <v>30</v>
      </c>
    </row>
    <row r="480" spans="1:12">
      <c r="A480" s="183" t="s">
        <v>7647</v>
      </c>
      <c r="B480" s="183" t="s">
        <v>7648</v>
      </c>
      <c r="C480">
        <v>10870222</v>
      </c>
      <c r="D480">
        <v>28</v>
      </c>
      <c r="E480">
        <v>0</v>
      </c>
      <c r="F480">
        <v>0</v>
      </c>
      <c r="G480">
        <v>0</v>
      </c>
      <c r="H480">
        <v>28</v>
      </c>
      <c r="I480" s="183" t="s">
        <v>7602</v>
      </c>
      <c r="J480" s="183" t="s">
        <v>12059</v>
      </c>
      <c r="K480">
        <v>0</v>
      </c>
      <c r="L480">
        <v>28</v>
      </c>
    </row>
    <row r="481" spans="1:12">
      <c r="A481" s="183" t="s">
        <v>7653</v>
      </c>
      <c r="B481" s="183" t="s">
        <v>7654</v>
      </c>
      <c r="C481">
        <v>10870228</v>
      </c>
      <c r="D481">
        <v>35</v>
      </c>
      <c r="E481">
        <v>0</v>
      </c>
      <c r="F481">
        <v>0</v>
      </c>
      <c r="G481">
        <v>0</v>
      </c>
      <c r="H481">
        <v>35</v>
      </c>
      <c r="I481" s="183" t="s">
        <v>7602</v>
      </c>
      <c r="J481" s="183" t="s">
        <v>12052</v>
      </c>
      <c r="K481">
        <v>0</v>
      </c>
      <c r="L481">
        <v>35</v>
      </c>
    </row>
    <row r="482" spans="1:12">
      <c r="A482" s="183" t="s">
        <v>7655</v>
      </c>
      <c r="B482" s="183" t="s">
        <v>7656</v>
      </c>
      <c r="C482">
        <v>10870232</v>
      </c>
      <c r="D482">
        <v>43</v>
      </c>
      <c r="E482">
        <v>0</v>
      </c>
      <c r="F482">
        <v>0</v>
      </c>
      <c r="G482">
        <v>0</v>
      </c>
      <c r="H482">
        <v>43</v>
      </c>
      <c r="I482" s="183" t="s">
        <v>7602</v>
      </c>
      <c r="J482" s="183" t="s">
        <v>12054</v>
      </c>
      <c r="K482">
        <v>0</v>
      </c>
      <c r="L482">
        <v>43</v>
      </c>
    </row>
    <row r="483" spans="1:12">
      <c r="A483" s="183" t="s">
        <v>7467</v>
      </c>
      <c r="B483" s="183" t="s">
        <v>7468</v>
      </c>
      <c r="C483">
        <v>10890206</v>
      </c>
      <c r="D483">
        <v>11</v>
      </c>
      <c r="E483">
        <v>0</v>
      </c>
      <c r="F483">
        <v>0</v>
      </c>
      <c r="G483">
        <v>0</v>
      </c>
      <c r="H483">
        <v>11</v>
      </c>
      <c r="I483" s="183" t="s">
        <v>7423</v>
      </c>
      <c r="J483" s="183" t="s">
        <v>12061</v>
      </c>
      <c r="K483">
        <v>0</v>
      </c>
      <c r="L483">
        <v>11</v>
      </c>
    </row>
    <row r="484" spans="1:12">
      <c r="A484" s="183" t="s">
        <v>7457</v>
      </c>
      <c r="B484" s="183" t="s">
        <v>7458</v>
      </c>
      <c r="C484">
        <v>10890213</v>
      </c>
      <c r="D484">
        <v>105</v>
      </c>
      <c r="E484">
        <v>0</v>
      </c>
      <c r="F484">
        <v>0</v>
      </c>
      <c r="G484">
        <v>0</v>
      </c>
      <c r="H484">
        <v>105</v>
      </c>
      <c r="I484" s="183" t="s">
        <v>7423</v>
      </c>
      <c r="J484" s="183" t="s">
        <v>12056</v>
      </c>
      <c r="K484">
        <v>0</v>
      </c>
      <c r="L484">
        <v>105</v>
      </c>
    </row>
    <row r="485" spans="1:12">
      <c r="A485" s="183" t="s">
        <v>7436</v>
      </c>
      <c r="B485" s="183" t="s">
        <v>7437</v>
      </c>
      <c r="C485">
        <v>10890222</v>
      </c>
      <c r="D485">
        <v>122</v>
      </c>
      <c r="E485">
        <v>0</v>
      </c>
      <c r="F485">
        <v>0</v>
      </c>
      <c r="G485">
        <v>0</v>
      </c>
      <c r="H485">
        <v>122</v>
      </c>
      <c r="I485" s="183" t="s">
        <v>7423</v>
      </c>
      <c r="J485" s="183" t="s">
        <v>12054</v>
      </c>
      <c r="K485">
        <v>0</v>
      </c>
      <c r="L485">
        <v>122</v>
      </c>
    </row>
    <row r="486" spans="1:12">
      <c r="A486" s="183" t="s">
        <v>7453</v>
      </c>
      <c r="B486" s="183" t="s">
        <v>7454</v>
      </c>
      <c r="C486">
        <v>10890234</v>
      </c>
      <c r="D486">
        <v>138</v>
      </c>
      <c r="E486">
        <v>0</v>
      </c>
      <c r="F486">
        <v>0</v>
      </c>
      <c r="G486">
        <v>0</v>
      </c>
      <c r="H486">
        <v>138</v>
      </c>
      <c r="I486" s="183" t="s">
        <v>7423</v>
      </c>
      <c r="J486" s="183" t="s">
        <v>12056</v>
      </c>
      <c r="K486">
        <v>0</v>
      </c>
      <c r="L486">
        <v>138</v>
      </c>
    </row>
    <row r="487" spans="1:12">
      <c r="A487" s="183" t="s">
        <v>37</v>
      </c>
      <c r="B487" s="183" t="s">
        <v>38</v>
      </c>
      <c r="C487">
        <v>11870207</v>
      </c>
      <c r="D487">
        <v>93</v>
      </c>
      <c r="E487">
        <v>0</v>
      </c>
      <c r="F487">
        <v>0</v>
      </c>
      <c r="G487">
        <v>0</v>
      </c>
      <c r="H487">
        <v>93</v>
      </c>
      <c r="I487" s="183" t="s">
        <v>1132</v>
      </c>
      <c r="J487" s="183" t="s">
        <v>12059</v>
      </c>
      <c r="K487">
        <v>0</v>
      </c>
      <c r="L487">
        <v>93</v>
      </c>
    </row>
    <row r="488" spans="1:12">
      <c r="A488" s="183" t="s">
        <v>7522</v>
      </c>
      <c r="B488" s="183" t="s">
        <v>7523</v>
      </c>
      <c r="C488">
        <v>11870222</v>
      </c>
      <c r="D488">
        <v>23</v>
      </c>
      <c r="E488">
        <v>0</v>
      </c>
      <c r="F488">
        <v>0</v>
      </c>
      <c r="G488">
        <v>0</v>
      </c>
      <c r="H488">
        <v>23</v>
      </c>
      <c r="I488" s="183" t="s">
        <v>1132</v>
      </c>
      <c r="J488" s="183" t="s">
        <v>12055</v>
      </c>
      <c r="K488">
        <v>0</v>
      </c>
      <c r="L488">
        <v>23</v>
      </c>
    </row>
    <row r="489" spans="1:12">
      <c r="A489" s="183" t="s">
        <v>7046</v>
      </c>
      <c r="B489" s="183" t="s">
        <v>7047</v>
      </c>
      <c r="C489">
        <v>50203309</v>
      </c>
      <c r="D489">
        <v>28</v>
      </c>
      <c r="E489">
        <v>0</v>
      </c>
      <c r="F489">
        <v>0</v>
      </c>
      <c r="G489">
        <v>0</v>
      </c>
      <c r="H489">
        <v>28</v>
      </c>
      <c r="I489" s="183" t="s">
        <v>1017</v>
      </c>
      <c r="J489" s="183" t="s">
        <v>12060</v>
      </c>
      <c r="K489">
        <v>0</v>
      </c>
      <c r="L489">
        <v>28</v>
      </c>
    </row>
    <row r="490" spans="1:12">
      <c r="A490" s="183" t="s">
        <v>7165</v>
      </c>
      <c r="B490" s="183" t="s">
        <v>7166</v>
      </c>
      <c r="C490">
        <v>50203509</v>
      </c>
      <c r="D490">
        <v>17</v>
      </c>
      <c r="E490">
        <v>0</v>
      </c>
      <c r="F490">
        <v>0</v>
      </c>
      <c r="G490">
        <v>0</v>
      </c>
      <c r="H490">
        <v>17</v>
      </c>
      <c r="I490" s="183" t="s">
        <v>1017</v>
      </c>
      <c r="J490" s="183" t="s">
        <v>12054</v>
      </c>
      <c r="K490">
        <v>0</v>
      </c>
      <c r="L490">
        <v>17</v>
      </c>
    </row>
    <row r="491" spans="1:12">
      <c r="A491" s="183" t="s">
        <v>3184</v>
      </c>
      <c r="B491" s="183" t="s">
        <v>3185</v>
      </c>
      <c r="C491">
        <v>50204118</v>
      </c>
      <c r="D491">
        <v>22</v>
      </c>
      <c r="E491">
        <v>0</v>
      </c>
      <c r="F491">
        <v>0</v>
      </c>
      <c r="G491">
        <v>0</v>
      </c>
      <c r="H491">
        <v>22</v>
      </c>
      <c r="I491" s="183" t="s">
        <v>1017</v>
      </c>
      <c r="J491" s="183" t="s">
        <v>12059</v>
      </c>
      <c r="K491">
        <v>0</v>
      </c>
      <c r="L491">
        <v>22</v>
      </c>
    </row>
    <row r="492" spans="1:12">
      <c r="A492" s="183" t="s">
        <v>3042</v>
      </c>
      <c r="B492" s="183" t="s">
        <v>3043</v>
      </c>
      <c r="C492">
        <v>50206218</v>
      </c>
      <c r="D492">
        <v>70</v>
      </c>
      <c r="E492">
        <v>0</v>
      </c>
      <c r="F492">
        <v>0</v>
      </c>
      <c r="G492">
        <v>0</v>
      </c>
      <c r="H492">
        <v>70</v>
      </c>
      <c r="I492" s="183" t="s">
        <v>1017</v>
      </c>
      <c r="J492" s="183" t="s">
        <v>12060</v>
      </c>
      <c r="K492">
        <v>0</v>
      </c>
      <c r="L492">
        <v>70</v>
      </c>
    </row>
    <row r="493" spans="1:12">
      <c r="A493" s="183" t="s">
        <v>84</v>
      </c>
      <c r="B493" s="183" t="s">
        <v>85</v>
      </c>
      <c r="C493">
        <v>50206518</v>
      </c>
      <c r="D493">
        <v>56</v>
      </c>
      <c r="E493">
        <v>0</v>
      </c>
      <c r="F493">
        <v>0</v>
      </c>
      <c r="G493">
        <v>0</v>
      </c>
      <c r="H493">
        <v>56</v>
      </c>
      <c r="I493" s="183" t="s">
        <v>1017</v>
      </c>
      <c r="J493" s="183" t="s">
        <v>12061</v>
      </c>
      <c r="K493">
        <v>0</v>
      </c>
      <c r="L493">
        <v>56</v>
      </c>
    </row>
    <row r="494" spans="1:12">
      <c r="A494" s="183" t="s">
        <v>88</v>
      </c>
      <c r="B494" s="183" t="s">
        <v>89</v>
      </c>
      <c r="C494">
        <v>50207318</v>
      </c>
      <c r="D494">
        <v>51</v>
      </c>
      <c r="E494">
        <v>0</v>
      </c>
      <c r="F494">
        <v>0</v>
      </c>
      <c r="G494">
        <v>0</v>
      </c>
      <c r="H494">
        <v>51</v>
      </c>
      <c r="I494" s="183" t="s">
        <v>1017</v>
      </c>
      <c r="J494" s="183" t="s">
        <v>12060</v>
      </c>
      <c r="K494">
        <v>0</v>
      </c>
      <c r="L494">
        <v>51</v>
      </c>
    </row>
    <row r="495" spans="1:12">
      <c r="A495" s="183" t="s">
        <v>96</v>
      </c>
      <c r="B495" s="183" t="s">
        <v>97</v>
      </c>
      <c r="C495">
        <v>50208518</v>
      </c>
      <c r="D495">
        <v>28</v>
      </c>
      <c r="E495">
        <v>0</v>
      </c>
      <c r="F495">
        <v>0</v>
      </c>
      <c r="G495">
        <v>0</v>
      </c>
      <c r="H495">
        <v>28</v>
      </c>
      <c r="I495" s="183" t="s">
        <v>1017</v>
      </c>
      <c r="J495" s="183" t="s">
        <v>12081</v>
      </c>
      <c r="K495">
        <v>0</v>
      </c>
      <c r="L495">
        <v>28</v>
      </c>
    </row>
    <row r="496" spans="1:12">
      <c r="A496" s="183" t="s">
        <v>6908</v>
      </c>
      <c r="B496" s="183" t="s">
        <v>6909</v>
      </c>
      <c r="C496">
        <v>50209109</v>
      </c>
      <c r="D496">
        <v>56</v>
      </c>
      <c r="E496">
        <v>0</v>
      </c>
      <c r="F496">
        <v>0</v>
      </c>
      <c r="G496">
        <v>0</v>
      </c>
      <c r="H496">
        <v>56</v>
      </c>
      <c r="I496" s="183" t="s">
        <v>1017</v>
      </c>
      <c r="J496" s="183" t="s">
        <v>12050</v>
      </c>
      <c r="K496">
        <v>0</v>
      </c>
      <c r="L496">
        <v>56</v>
      </c>
    </row>
    <row r="497" spans="1:12">
      <c r="A497" s="183" t="s">
        <v>3049</v>
      </c>
      <c r="B497" s="183" t="s">
        <v>3050</v>
      </c>
      <c r="C497">
        <v>50209518</v>
      </c>
      <c r="D497">
        <v>60</v>
      </c>
      <c r="E497">
        <v>0</v>
      </c>
      <c r="F497">
        <v>0</v>
      </c>
      <c r="G497">
        <v>0</v>
      </c>
      <c r="H497">
        <v>60</v>
      </c>
      <c r="I497" s="183" t="s">
        <v>1017</v>
      </c>
      <c r="J497" s="183" t="s">
        <v>12059</v>
      </c>
      <c r="K497">
        <v>0</v>
      </c>
      <c r="L497">
        <v>60</v>
      </c>
    </row>
    <row r="498" spans="1:12">
      <c r="A498" s="183" t="s">
        <v>6085</v>
      </c>
      <c r="B498" s="183" t="s">
        <v>5045</v>
      </c>
      <c r="C498" t="s">
        <v>12082</v>
      </c>
      <c r="D498">
        <v>109</v>
      </c>
      <c r="E498">
        <v>0</v>
      </c>
      <c r="F498">
        <v>0</v>
      </c>
      <c r="G498">
        <v>0</v>
      </c>
      <c r="H498">
        <v>109</v>
      </c>
      <c r="I498" s="183" t="s">
        <v>1324</v>
      </c>
      <c r="J498" s="183" t="s">
        <v>12081</v>
      </c>
      <c r="K498">
        <v>0</v>
      </c>
      <c r="L498">
        <v>109</v>
      </c>
    </row>
    <row r="499" spans="1:12">
      <c r="A499" s="183" t="s">
        <v>6308</v>
      </c>
      <c r="B499" s="183" t="s">
        <v>6309</v>
      </c>
      <c r="C499" t="s">
        <v>12083</v>
      </c>
      <c r="D499" s="501">
        <v>2306</v>
      </c>
      <c r="E499">
        <v>0</v>
      </c>
      <c r="F499">
        <v>0</v>
      </c>
      <c r="G499">
        <v>0</v>
      </c>
      <c r="H499" s="501">
        <v>2306</v>
      </c>
      <c r="I499" s="183" t="s">
        <v>1324</v>
      </c>
      <c r="J499" s="183" t="s">
        <v>12063</v>
      </c>
      <c r="K499">
        <v>0</v>
      </c>
      <c r="L499" s="501">
        <v>2306</v>
      </c>
    </row>
    <row r="500" spans="1:12">
      <c r="A500" s="183" t="s">
        <v>3684</v>
      </c>
      <c r="B500" s="183" t="s">
        <v>3685</v>
      </c>
      <c r="C500">
        <v>16870234</v>
      </c>
      <c r="D500">
        <v>25</v>
      </c>
      <c r="E500">
        <v>0</v>
      </c>
      <c r="F500">
        <v>0</v>
      </c>
      <c r="G500">
        <v>0</v>
      </c>
      <c r="H500">
        <v>25</v>
      </c>
      <c r="I500" s="183" t="s">
        <v>1110</v>
      </c>
      <c r="J500" s="183" t="s">
        <v>12058</v>
      </c>
      <c r="K500">
        <v>0</v>
      </c>
      <c r="L500">
        <v>25</v>
      </c>
    </row>
    <row r="501" spans="1:12">
      <c r="A501" s="183" t="s">
        <v>6790</v>
      </c>
      <c r="B501" s="183" t="s">
        <v>6791</v>
      </c>
      <c r="C501">
        <v>10850194</v>
      </c>
      <c r="D501">
        <v>35</v>
      </c>
      <c r="E501">
        <v>0</v>
      </c>
      <c r="F501">
        <v>0</v>
      </c>
      <c r="G501">
        <v>0</v>
      </c>
      <c r="H501">
        <v>35</v>
      </c>
      <c r="I501" s="183" t="s">
        <v>6632</v>
      </c>
      <c r="J501" s="183" t="s">
        <v>12061</v>
      </c>
      <c r="K501">
        <v>0</v>
      </c>
      <c r="L501">
        <v>35</v>
      </c>
    </row>
    <row r="502" spans="1:12">
      <c r="A502" s="183" t="s">
        <v>6746</v>
      </c>
      <c r="B502" s="183" t="s">
        <v>6747</v>
      </c>
      <c r="C502">
        <v>10850172</v>
      </c>
      <c r="D502">
        <v>108</v>
      </c>
      <c r="E502">
        <v>0</v>
      </c>
      <c r="F502">
        <v>0</v>
      </c>
      <c r="G502">
        <v>0</v>
      </c>
      <c r="H502">
        <v>108</v>
      </c>
      <c r="I502" s="183" t="s">
        <v>6632</v>
      </c>
      <c r="J502" s="183" t="s">
        <v>12056</v>
      </c>
      <c r="K502">
        <v>0</v>
      </c>
      <c r="L502">
        <v>108</v>
      </c>
    </row>
    <row r="503" spans="1:12">
      <c r="A503" s="183" t="s">
        <v>6651</v>
      </c>
      <c r="B503" s="183" t="s">
        <v>6652</v>
      </c>
      <c r="C503">
        <v>10850170</v>
      </c>
      <c r="D503">
        <v>41</v>
      </c>
      <c r="E503">
        <v>0</v>
      </c>
      <c r="F503">
        <v>0</v>
      </c>
      <c r="G503">
        <v>0</v>
      </c>
      <c r="H503">
        <v>41</v>
      </c>
      <c r="I503" s="183" t="s">
        <v>6632</v>
      </c>
      <c r="J503" s="183" t="s">
        <v>12054</v>
      </c>
      <c r="K503">
        <v>0</v>
      </c>
      <c r="L503">
        <v>41</v>
      </c>
    </row>
    <row r="504" spans="1:12">
      <c r="A504" s="183" t="s">
        <v>6792</v>
      </c>
      <c r="B504" s="183" t="s">
        <v>6793</v>
      </c>
      <c r="C504">
        <v>10850160</v>
      </c>
      <c r="D504">
        <v>30</v>
      </c>
      <c r="E504">
        <v>0</v>
      </c>
      <c r="F504">
        <v>0</v>
      </c>
      <c r="G504">
        <v>0</v>
      </c>
      <c r="H504">
        <v>30</v>
      </c>
      <c r="I504" s="183" t="s">
        <v>6632</v>
      </c>
      <c r="J504" s="183" t="s">
        <v>12052</v>
      </c>
      <c r="K504">
        <v>0</v>
      </c>
      <c r="L504">
        <v>30</v>
      </c>
    </row>
    <row r="505" spans="1:12">
      <c r="A505" s="183" t="s">
        <v>6653</v>
      </c>
      <c r="B505" s="183" t="s">
        <v>6654</v>
      </c>
      <c r="C505">
        <v>10850158</v>
      </c>
      <c r="D505">
        <v>23</v>
      </c>
      <c r="E505">
        <v>0</v>
      </c>
      <c r="F505">
        <v>0</v>
      </c>
      <c r="G505">
        <v>0</v>
      </c>
      <c r="H505">
        <v>23</v>
      </c>
      <c r="I505" s="183" t="s">
        <v>6632</v>
      </c>
      <c r="J505" s="183" t="s">
        <v>12058</v>
      </c>
      <c r="K505">
        <v>0</v>
      </c>
      <c r="L505">
        <v>23</v>
      </c>
    </row>
    <row r="506" spans="1:12">
      <c r="A506" s="183" t="s">
        <v>6859</v>
      </c>
      <c r="B506" s="183" t="s">
        <v>6860</v>
      </c>
      <c r="C506">
        <v>10850211</v>
      </c>
      <c r="D506">
        <v>6</v>
      </c>
      <c r="E506">
        <v>0</v>
      </c>
      <c r="F506">
        <v>0</v>
      </c>
      <c r="G506">
        <v>0</v>
      </c>
      <c r="H506">
        <v>6</v>
      </c>
      <c r="I506" s="183" t="s">
        <v>6632</v>
      </c>
      <c r="J506" s="183" t="s">
        <v>12052</v>
      </c>
      <c r="K506">
        <v>0</v>
      </c>
      <c r="L506">
        <v>6</v>
      </c>
    </row>
    <row r="507" spans="1:12">
      <c r="A507" s="183" t="s">
        <v>6655</v>
      </c>
      <c r="B507" s="183" t="s">
        <v>6656</v>
      </c>
      <c r="C507">
        <v>10850232</v>
      </c>
      <c r="D507">
        <v>30</v>
      </c>
      <c r="E507">
        <v>0</v>
      </c>
      <c r="F507">
        <v>0</v>
      </c>
      <c r="G507">
        <v>0</v>
      </c>
      <c r="H507">
        <v>30</v>
      </c>
      <c r="I507" s="183" t="s">
        <v>6632</v>
      </c>
      <c r="J507" s="183" t="s">
        <v>12060</v>
      </c>
      <c r="K507">
        <v>0</v>
      </c>
      <c r="L507">
        <v>30</v>
      </c>
    </row>
    <row r="508" spans="1:12">
      <c r="A508" s="183" t="s">
        <v>6772</v>
      </c>
      <c r="B508" s="183" t="s">
        <v>6773</v>
      </c>
      <c r="C508">
        <v>10850248</v>
      </c>
      <c r="D508">
        <v>20</v>
      </c>
      <c r="E508">
        <v>0</v>
      </c>
      <c r="F508">
        <v>0</v>
      </c>
      <c r="G508">
        <v>0</v>
      </c>
      <c r="H508">
        <v>20</v>
      </c>
      <c r="I508" s="183" t="s">
        <v>6632</v>
      </c>
      <c r="J508" s="183" t="s">
        <v>12061</v>
      </c>
      <c r="K508">
        <v>0</v>
      </c>
      <c r="L508">
        <v>20</v>
      </c>
    </row>
    <row r="509" spans="1:12">
      <c r="A509" s="183" t="s">
        <v>6879</v>
      </c>
      <c r="B509" s="183" t="s">
        <v>6880</v>
      </c>
      <c r="C509">
        <v>10850260</v>
      </c>
      <c r="D509">
        <v>20</v>
      </c>
      <c r="E509">
        <v>0</v>
      </c>
      <c r="F509">
        <v>0</v>
      </c>
      <c r="G509">
        <v>0</v>
      </c>
      <c r="H509">
        <v>20</v>
      </c>
      <c r="I509" s="183" t="s">
        <v>6632</v>
      </c>
      <c r="J509" s="183" t="s">
        <v>12054</v>
      </c>
      <c r="K509">
        <v>0</v>
      </c>
      <c r="L509">
        <v>20</v>
      </c>
    </row>
    <row r="510" spans="1:12">
      <c r="A510" s="183" t="s">
        <v>8651</v>
      </c>
      <c r="B510" s="183" t="s">
        <v>8652</v>
      </c>
      <c r="C510">
        <v>10870204</v>
      </c>
      <c r="D510">
        <v>48</v>
      </c>
      <c r="E510">
        <v>0</v>
      </c>
      <c r="F510">
        <v>0</v>
      </c>
      <c r="G510">
        <v>0</v>
      </c>
      <c r="H510">
        <v>48</v>
      </c>
      <c r="I510" s="183" t="s">
        <v>7602</v>
      </c>
      <c r="J510" s="183" t="s">
        <v>12059</v>
      </c>
      <c r="K510">
        <v>0</v>
      </c>
      <c r="L510">
        <v>48</v>
      </c>
    </row>
    <row r="511" spans="1:12">
      <c r="A511" s="183" t="s">
        <v>7459</v>
      </c>
      <c r="B511" s="183" t="s">
        <v>7460</v>
      </c>
      <c r="C511">
        <v>10890204</v>
      </c>
      <c r="D511">
        <v>83</v>
      </c>
      <c r="E511">
        <v>0</v>
      </c>
      <c r="F511">
        <v>0</v>
      </c>
      <c r="G511">
        <v>0</v>
      </c>
      <c r="H511">
        <v>83</v>
      </c>
      <c r="I511" s="183" t="s">
        <v>7423</v>
      </c>
      <c r="J511" s="183" t="s">
        <v>12057</v>
      </c>
      <c r="K511">
        <v>0</v>
      </c>
      <c r="L511">
        <v>83</v>
      </c>
    </row>
    <row r="512" spans="1:12">
      <c r="A512" s="183" t="s">
        <v>7430</v>
      </c>
      <c r="B512" s="183" t="s">
        <v>7431</v>
      </c>
      <c r="C512">
        <v>10890210</v>
      </c>
      <c r="D512">
        <v>91</v>
      </c>
      <c r="E512">
        <v>0</v>
      </c>
      <c r="F512">
        <v>0</v>
      </c>
      <c r="G512">
        <v>0</v>
      </c>
      <c r="H512">
        <v>91</v>
      </c>
      <c r="I512" s="183" t="s">
        <v>7423</v>
      </c>
      <c r="J512" s="183" t="s">
        <v>12057</v>
      </c>
      <c r="K512">
        <v>0</v>
      </c>
      <c r="L512">
        <v>91</v>
      </c>
    </row>
    <row r="513" spans="1:12">
      <c r="A513" s="183" t="s">
        <v>7463</v>
      </c>
      <c r="B513" s="183" t="s">
        <v>7464</v>
      </c>
      <c r="C513">
        <v>10890219</v>
      </c>
      <c r="D513">
        <v>127</v>
      </c>
      <c r="E513">
        <v>0</v>
      </c>
      <c r="F513">
        <v>0</v>
      </c>
      <c r="G513">
        <v>0</v>
      </c>
      <c r="H513">
        <v>127</v>
      </c>
      <c r="I513" s="183" t="s">
        <v>7423</v>
      </c>
      <c r="J513" s="183" t="s">
        <v>12059</v>
      </c>
      <c r="K513">
        <v>0</v>
      </c>
      <c r="L513">
        <v>127</v>
      </c>
    </row>
    <row r="514" spans="1:12">
      <c r="A514" s="183" t="s">
        <v>7461</v>
      </c>
      <c r="B514" s="183" t="s">
        <v>7462</v>
      </c>
      <c r="C514">
        <v>10890220</v>
      </c>
      <c r="D514">
        <v>124</v>
      </c>
      <c r="E514">
        <v>0</v>
      </c>
      <c r="F514">
        <v>0</v>
      </c>
      <c r="G514">
        <v>0</v>
      </c>
      <c r="H514">
        <v>124</v>
      </c>
      <c r="I514" s="183" t="s">
        <v>7423</v>
      </c>
      <c r="J514" s="183" t="s">
        <v>12056</v>
      </c>
      <c r="K514">
        <v>0</v>
      </c>
      <c r="L514">
        <v>124</v>
      </c>
    </row>
    <row r="515" spans="1:12">
      <c r="A515" s="183" t="s">
        <v>7438</v>
      </c>
      <c r="B515" s="183" t="s">
        <v>7439</v>
      </c>
      <c r="C515">
        <v>10890221</v>
      </c>
      <c r="D515">
        <v>117</v>
      </c>
      <c r="E515">
        <v>0</v>
      </c>
      <c r="F515">
        <v>0</v>
      </c>
      <c r="G515">
        <v>0</v>
      </c>
      <c r="H515">
        <v>117</v>
      </c>
      <c r="I515" s="183" t="s">
        <v>7423</v>
      </c>
      <c r="J515" s="183" t="s">
        <v>12067</v>
      </c>
      <c r="K515">
        <v>0</v>
      </c>
      <c r="L515">
        <v>117</v>
      </c>
    </row>
    <row r="516" spans="1:12">
      <c r="A516" s="183" t="s">
        <v>7421</v>
      </c>
      <c r="B516" s="183" t="s">
        <v>7422</v>
      </c>
      <c r="C516">
        <v>10890226</v>
      </c>
      <c r="D516">
        <v>82</v>
      </c>
      <c r="E516">
        <v>0</v>
      </c>
      <c r="F516">
        <v>0</v>
      </c>
      <c r="G516">
        <v>0</v>
      </c>
      <c r="H516">
        <v>82</v>
      </c>
      <c r="I516" s="183" t="s">
        <v>7423</v>
      </c>
      <c r="J516" s="183" t="s">
        <v>12052</v>
      </c>
      <c r="K516">
        <v>0</v>
      </c>
      <c r="L516">
        <v>82</v>
      </c>
    </row>
    <row r="517" spans="1:12">
      <c r="A517" s="183" t="s">
        <v>7471</v>
      </c>
      <c r="B517" s="183" t="s">
        <v>7472</v>
      </c>
      <c r="C517">
        <v>10890236</v>
      </c>
      <c r="D517">
        <v>45</v>
      </c>
      <c r="E517">
        <v>0</v>
      </c>
      <c r="F517">
        <v>0</v>
      </c>
      <c r="G517">
        <v>0</v>
      </c>
      <c r="H517">
        <v>45</v>
      </c>
      <c r="I517" s="183" t="s">
        <v>7423</v>
      </c>
      <c r="J517" s="183" t="s">
        <v>12059</v>
      </c>
      <c r="K517">
        <v>0</v>
      </c>
      <c r="L517">
        <v>45</v>
      </c>
    </row>
    <row r="518" spans="1:12">
      <c r="A518" s="183" t="s">
        <v>33</v>
      </c>
      <c r="B518" s="183" t="s">
        <v>34</v>
      </c>
      <c r="C518">
        <v>11870204</v>
      </c>
      <c r="D518">
        <v>78</v>
      </c>
      <c r="E518">
        <v>0</v>
      </c>
      <c r="F518">
        <v>0</v>
      </c>
      <c r="G518">
        <v>0</v>
      </c>
      <c r="H518">
        <v>78</v>
      </c>
      <c r="I518" s="183" t="s">
        <v>1132</v>
      </c>
      <c r="J518" s="183" t="s">
        <v>12058</v>
      </c>
      <c r="K518">
        <v>0</v>
      </c>
      <c r="L518">
        <v>78</v>
      </c>
    </row>
    <row r="519" spans="1:12">
      <c r="A519" s="183" t="s">
        <v>3569</v>
      </c>
      <c r="B519" s="183" t="s">
        <v>3570</v>
      </c>
      <c r="C519">
        <v>11870208</v>
      </c>
      <c r="D519">
        <v>56</v>
      </c>
      <c r="E519">
        <v>0</v>
      </c>
      <c r="F519">
        <v>0</v>
      </c>
      <c r="G519">
        <v>0</v>
      </c>
      <c r="H519">
        <v>56</v>
      </c>
      <c r="I519" s="183" t="s">
        <v>1132</v>
      </c>
      <c r="J519" s="183" t="s">
        <v>12059</v>
      </c>
      <c r="K519">
        <v>0</v>
      </c>
      <c r="L519">
        <v>56</v>
      </c>
    </row>
    <row r="520" spans="1:12">
      <c r="A520" s="183" t="s">
        <v>7262</v>
      </c>
      <c r="B520" s="183" t="s">
        <v>7263</v>
      </c>
      <c r="C520">
        <v>50201518</v>
      </c>
      <c r="D520">
        <v>22</v>
      </c>
      <c r="E520">
        <v>0</v>
      </c>
      <c r="F520">
        <v>0</v>
      </c>
      <c r="G520">
        <v>0</v>
      </c>
      <c r="H520">
        <v>22</v>
      </c>
      <c r="I520" s="183" t="s">
        <v>1017</v>
      </c>
      <c r="J520" s="183" t="s">
        <v>12061</v>
      </c>
      <c r="K520">
        <v>0</v>
      </c>
      <c r="L520">
        <v>22</v>
      </c>
    </row>
    <row r="521" spans="1:12">
      <c r="A521" s="183" t="s">
        <v>7128</v>
      </c>
      <c r="B521" s="183" t="s">
        <v>7129</v>
      </c>
      <c r="C521">
        <v>50202318</v>
      </c>
      <c r="D521">
        <v>46</v>
      </c>
      <c r="E521">
        <v>0</v>
      </c>
      <c r="F521">
        <v>0</v>
      </c>
      <c r="G521">
        <v>0</v>
      </c>
      <c r="H521">
        <v>46</v>
      </c>
      <c r="I521" s="183" t="s">
        <v>1017</v>
      </c>
      <c r="J521" s="183" t="s">
        <v>12056</v>
      </c>
      <c r="K521">
        <v>0</v>
      </c>
      <c r="L521">
        <v>46</v>
      </c>
    </row>
    <row r="522" spans="1:12">
      <c r="A522" s="183" t="s">
        <v>6968</v>
      </c>
      <c r="B522" s="183" t="s">
        <v>6969</v>
      </c>
      <c r="C522">
        <v>50203118</v>
      </c>
      <c r="D522">
        <v>61</v>
      </c>
      <c r="E522">
        <v>0</v>
      </c>
      <c r="F522">
        <v>0</v>
      </c>
      <c r="G522">
        <v>0</v>
      </c>
      <c r="H522">
        <v>61</v>
      </c>
      <c r="I522" s="183" t="s">
        <v>1017</v>
      </c>
      <c r="J522" s="183" t="s">
        <v>12055</v>
      </c>
      <c r="K522">
        <v>0</v>
      </c>
      <c r="L522">
        <v>61</v>
      </c>
    </row>
    <row r="523" spans="1:12">
      <c r="A523" s="183" t="s">
        <v>3224</v>
      </c>
      <c r="B523" s="183" t="s">
        <v>3225</v>
      </c>
      <c r="C523">
        <v>50205318</v>
      </c>
      <c r="D523">
        <v>68</v>
      </c>
      <c r="E523">
        <v>0</v>
      </c>
      <c r="F523">
        <v>0</v>
      </c>
      <c r="G523">
        <v>0</v>
      </c>
      <c r="H523">
        <v>68</v>
      </c>
      <c r="I523" s="183" t="s">
        <v>1017</v>
      </c>
      <c r="J523" s="183" t="s">
        <v>12052</v>
      </c>
      <c r="K523">
        <v>0</v>
      </c>
      <c r="L523">
        <v>68</v>
      </c>
    </row>
    <row r="524" spans="1:12">
      <c r="A524" s="183" t="s">
        <v>7264</v>
      </c>
      <c r="B524" s="183" t="s">
        <v>7265</v>
      </c>
      <c r="C524">
        <v>50205509</v>
      </c>
      <c r="D524">
        <v>44</v>
      </c>
      <c r="E524">
        <v>0</v>
      </c>
      <c r="F524">
        <v>0</v>
      </c>
      <c r="G524">
        <v>0</v>
      </c>
      <c r="H524">
        <v>44</v>
      </c>
      <c r="I524" s="183" t="s">
        <v>1017</v>
      </c>
      <c r="J524" s="183" t="s">
        <v>12063</v>
      </c>
      <c r="K524">
        <v>0</v>
      </c>
      <c r="L524">
        <v>44</v>
      </c>
    </row>
    <row r="525" spans="1:12">
      <c r="A525" s="183" t="s">
        <v>80</v>
      </c>
      <c r="B525" s="183" t="s">
        <v>81</v>
      </c>
      <c r="C525">
        <v>50205518</v>
      </c>
      <c r="D525">
        <v>45</v>
      </c>
      <c r="E525">
        <v>0</v>
      </c>
      <c r="F525">
        <v>0</v>
      </c>
      <c r="G525">
        <v>0</v>
      </c>
      <c r="H525">
        <v>45</v>
      </c>
      <c r="I525" s="183" t="s">
        <v>1017</v>
      </c>
      <c r="J525" s="183" t="s">
        <v>12061</v>
      </c>
      <c r="K525">
        <v>0</v>
      </c>
      <c r="L525">
        <v>45</v>
      </c>
    </row>
    <row r="526" spans="1:12">
      <c r="A526" s="183" t="s">
        <v>7072</v>
      </c>
      <c r="B526" s="183" t="s">
        <v>7073</v>
      </c>
      <c r="C526">
        <v>50206209</v>
      </c>
      <c r="D526">
        <v>10</v>
      </c>
      <c r="E526">
        <v>0</v>
      </c>
      <c r="F526">
        <v>0</v>
      </c>
      <c r="G526">
        <v>0</v>
      </c>
      <c r="H526">
        <v>10</v>
      </c>
      <c r="I526" s="183" t="s">
        <v>1017</v>
      </c>
      <c r="J526" s="183" t="s">
        <v>12055</v>
      </c>
      <c r="K526">
        <v>0</v>
      </c>
      <c r="L526">
        <v>10</v>
      </c>
    </row>
    <row r="527" spans="1:12">
      <c r="A527" s="183" t="s">
        <v>3222</v>
      </c>
      <c r="B527" s="183" t="s">
        <v>3223</v>
      </c>
      <c r="C527">
        <v>50206318</v>
      </c>
      <c r="D527">
        <v>37</v>
      </c>
      <c r="E527">
        <v>0</v>
      </c>
      <c r="F527">
        <v>0</v>
      </c>
      <c r="G527">
        <v>0</v>
      </c>
      <c r="H527">
        <v>37</v>
      </c>
      <c r="I527" s="183" t="s">
        <v>1017</v>
      </c>
      <c r="J527" s="183" t="s">
        <v>12057</v>
      </c>
      <c r="K527">
        <v>0</v>
      </c>
      <c r="L527">
        <v>37</v>
      </c>
    </row>
    <row r="528" spans="1:12">
      <c r="A528" s="183" t="s">
        <v>94</v>
      </c>
      <c r="B528" s="183" t="s">
        <v>95</v>
      </c>
      <c r="C528">
        <v>50208118</v>
      </c>
      <c r="D528">
        <v>41</v>
      </c>
      <c r="E528">
        <v>0</v>
      </c>
      <c r="F528">
        <v>0</v>
      </c>
      <c r="G528">
        <v>0</v>
      </c>
      <c r="H528">
        <v>41</v>
      </c>
      <c r="I528" s="183" t="s">
        <v>1017</v>
      </c>
      <c r="J528" s="183" t="s">
        <v>12056</v>
      </c>
      <c r="K528">
        <v>0</v>
      </c>
      <c r="L528">
        <v>41</v>
      </c>
    </row>
    <row r="529" spans="1:12">
      <c r="A529" s="183" t="s">
        <v>7092</v>
      </c>
      <c r="B529" s="183" t="s">
        <v>7093</v>
      </c>
      <c r="C529">
        <v>50208309</v>
      </c>
      <c r="D529">
        <v>28</v>
      </c>
      <c r="E529">
        <v>0</v>
      </c>
      <c r="F529">
        <v>0</v>
      </c>
      <c r="G529">
        <v>0</v>
      </c>
      <c r="H529">
        <v>28</v>
      </c>
      <c r="I529" s="183" t="s">
        <v>1017</v>
      </c>
      <c r="J529" s="183" t="s">
        <v>12056</v>
      </c>
      <c r="K529">
        <v>0</v>
      </c>
      <c r="L529">
        <v>28</v>
      </c>
    </row>
    <row r="530" spans="1:12">
      <c r="A530" s="183" t="s">
        <v>7056</v>
      </c>
      <c r="B530" s="183" t="s">
        <v>7057</v>
      </c>
      <c r="C530">
        <v>50209209</v>
      </c>
      <c r="D530">
        <v>38</v>
      </c>
      <c r="E530">
        <v>0</v>
      </c>
      <c r="F530">
        <v>0</v>
      </c>
      <c r="G530">
        <v>0</v>
      </c>
      <c r="H530">
        <v>38</v>
      </c>
      <c r="I530" s="183" t="s">
        <v>1017</v>
      </c>
      <c r="J530" s="183" t="s">
        <v>12061</v>
      </c>
      <c r="K530">
        <v>0</v>
      </c>
      <c r="L530">
        <v>38</v>
      </c>
    </row>
    <row r="531" spans="1:12">
      <c r="A531" s="183" t="s">
        <v>2997</v>
      </c>
      <c r="B531" s="183" t="s">
        <v>2998</v>
      </c>
      <c r="C531">
        <v>50210118</v>
      </c>
      <c r="D531">
        <v>25</v>
      </c>
      <c r="E531">
        <v>0</v>
      </c>
      <c r="F531">
        <v>0</v>
      </c>
      <c r="G531">
        <v>0</v>
      </c>
      <c r="H531">
        <v>25</v>
      </c>
      <c r="I531" s="183" t="s">
        <v>1017</v>
      </c>
      <c r="J531" s="183" t="s">
        <v>12056</v>
      </c>
      <c r="K531">
        <v>0</v>
      </c>
      <c r="L531">
        <v>25</v>
      </c>
    </row>
    <row r="532" spans="1:12">
      <c r="A532" s="183" t="s">
        <v>3754</v>
      </c>
      <c r="B532" s="183" t="s">
        <v>3755</v>
      </c>
      <c r="C532">
        <v>50210218</v>
      </c>
      <c r="D532">
        <v>28</v>
      </c>
      <c r="E532">
        <v>0</v>
      </c>
      <c r="F532">
        <v>0</v>
      </c>
      <c r="G532">
        <v>0</v>
      </c>
      <c r="H532">
        <v>28</v>
      </c>
      <c r="I532" s="183" t="s">
        <v>1017</v>
      </c>
      <c r="J532" s="183" t="s">
        <v>12056</v>
      </c>
      <c r="K532">
        <v>0</v>
      </c>
      <c r="L532">
        <v>28</v>
      </c>
    </row>
    <row r="533" spans="1:12">
      <c r="A533" s="183" t="s">
        <v>3000</v>
      </c>
      <c r="B533" s="183" t="s">
        <v>3001</v>
      </c>
      <c r="C533">
        <v>50211118</v>
      </c>
      <c r="D533">
        <v>62</v>
      </c>
      <c r="E533">
        <v>0</v>
      </c>
      <c r="F533">
        <v>0</v>
      </c>
      <c r="G533">
        <v>0</v>
      </c>
      <c r="H533">
        <v>62</v>
      </c>
      <c r="I533" s="183" t="s">
        <v>1017</v>
      </c>
      <c r="J533" s="183" t="s">
        <v>12058</v>
      </c>
      <c r="K533">
        <v>0</v>
      </c>
      <c r="L533">
        <v>62</v>
      </c>
    </row>
    <row r="534" spans="1:12">
      <c r="A534" s="183" t="s">
        <v>3059</v>
      </c>
      <c r="B534" s="183" t="s">
        <v>3060</v>
      </c>
      <c r="C534">
        <v>50211318</v>
      </c>
      <c r="D534">
        <v>20</v>
      </c>
      <c r="E534">
        <v>0</v>
      </c>
      <c r="F534">
        <v>0</v>
      </c>
      <c r="G534">
        <v>0</v>
      </c>
      <c r="H534">
        <v>20</v>
      </c>
      <c r="I534" s="183" t="s">
        <v>1017</v>
      </c>
      <c r="J534" s="183" t="s">
        <v>12052</v>
      </c>
      <c r="K534">
        <v>0</v>
      </c>
      <c r="L534">
        <v>20</v>
      </c>
    </row>
    <row r="535" spans="1:12">
      <c r="A535" s="183" t="s">
        <v>7258</v>
      </c>
      <c r="B535" s="183" t="s">
        <v>7259</v>
      </c>
      <c r="C535">
        <v>50211409</v>
      </c>
      <c r="D535">
        <v>18</v>
      </c>
      <c r="E535">
        <v>0</v>
      </c>
      <c r="F535">
        <v>0</v>
      </c>
      <c r="G535">
        <v>0</v>
      </c>
      <c r="H535">
        <v>18</v>
      </c>
      <c r="I535" s="183" t="s">
        <v>1017</v>
      </c>
      <c r="J535" s="183" t="s">
        <v>12050</v>
      </c>
      <c r="K535">
        <v>0</v>
      </c>
      <c r="L535">
        <v>18</v>
      </c>
    </row>
    <row r="536" spans="1:12">
      <c r="A536" s="183" t="s">
        <v>100</v>
      </c>
      <c r="B536" s="183" t="s">
        <v>101</v>
      </c>
      <c r="C536">
        <v>50211418</v>
      </c>
      <c r="D536">
        <v>14</v>
      </c>
      <c r="E536">
        <v>0</v>
      </c>
      <c r="F536">
        <v>0</v>
      </c>
      <c r="G536">
        <v>0</v>
      </c>
      <c r="H536">
        <v>14</v>
      </c>
      <c r="I536" s="183" t="s">
        <v>1017</v>
      </c>
      <c r="J536" s="183" t="s">
        <v>12054</v>
      </c>
      <c r="K536">
        <v>0</v>
      </c>
      <c r="L536">
        <v>14</v>
      </c>
    </row>
    <row r="537" spans="1:12">
      <c r="A537" s="183" t="s">
        <v>7205</v>
      </c>
      <c r="B537" s="183" t="s">
        <v>7206</v>
      </c>
      <c r="C537">
        <v>50211509</v>
      </c>
      <c r="D537">
        <v>26</v>
      </c>
      <c r="E537">
        <v>0</v>
      </c>
      <c r="F537">
        <v>0</v>
      </c>
      <c r="G537">
        <v>0</v>
      </c>
      <c r="H537">
        <v>26</v>
      </c>
      <c r="I537" s="183" t="s">
        <v>1017</v>
      </c>
      <c r="J537" s="183" t="s">
        <v>12057</v>
      </c>
      <c r="K537">
        <v>0</v>
      </c>
      <c r="L537">
        <v>26</v>
      </c>
    </row>
    <row r="538" spans="1:12">
      <c r="A538" s="183" t="s">
        <v>6966</v>
      </c>
      <c r="B538" s="183" t="s">
        <v>6967</v>
      </c>
      <c r="C538">
        <v>50212109</v>
      </c>
      <c r="D538">
        <v>17</v>
      </c>
      <c r="E538">
        <v>0</v>
      </c>
      <c r="F538">
        <v>0</v>
      </c>
      <c r="G538">
        <v>0</v>
      </c>
      <c r="H538">
        <v>17</v>
      </c>
      <c r="I538" s="183" t="s">
        <v>1017</v>
      </c>
      <c r="J538" s="183" t="s">
        <v>12056</v>
      </c>
      <c r="K538">
        <v>0</v>
      </c>
      <c r="L538">
        <v>17</v>
      </c>
    </row>
    <row r="539" spans="1:12">
      <c r="A539" s="183" t="s">
        <v>3430</v>
      </c>
      <c r="B539" s="183" t="s">
        <v>3431</v>
      </c>
      <c r="C539">
        <v>50212118</v>
      </c>
      <c r="D539">
        <v>22</v>
      </c>
      <c r="E539">
        <v>0</v>
      </c>
      <c r="F539">
        <v>0</v>
      </c>
      <c r="G539">
        <v>0</v>
      </c>
      <c r="H539">
        <v>22</v>
      </c>
      <c r="I539" s="183" t="s">
        <v>1017</v>
      </c>
      <c r="J539" s="183" t="s">
        <v>12060</v>
      </c>
      <c r="K539">
        <v>0</v>
      </c>
      <c r="L539">
        <v>22</v>
      </c>
    </row>
    <row r="540" spans="1:12">
      <c r="A540" s="183" t="s">
        <v>6964</v>
      </c>
      <c r="B540" s="183" t="s">
        <v>6965</v>
      </c>
      <c r="C540">
        <v>50214109</v>
      </c>
      <c r="D540">
        <v>57</v>
      </c>
      <c r="E540">
        <v>0</v>
      </c>
      <c r="F540">
        <v>0</v>
      </c>
      <c r="G540">
        <v>0</v>
      </c>
      <c r="H540">
        <v>57</v>
      </c>
      <c r="I540" s="183" t="s">
        <v>1017</v>
      </c>
      <c r="J540" s="183" t="s">
        <v>12067</v>
      </c>
      <c r="K540">
        <v>0</v>
      </c>
      <c r="L540">
        <v>57</v>
      </c>
    </row>
    <row r="541" spans="1:12">
      <c r="A541" s="183" t="s">
        <v>8075</v>
      </c>
      <c r="B541" s="183" t="s">
        <v>8076</v>
      </c>
      <c r="C541">
        <v>50214118</v>
      </c>
      <c r="D541">
        <v>34</v>
      </c>
      <c r="E541">
        <v>0</v>
      </c>
      <c r="F541">
        <v>0</v>
      </c>
      <c r="G541">
        <v>0</v>
      </c>
      <c r="H541">
        <v>34</v>
      </c>
      <c r="I541" s="183" t="s">
        <v>1017</v>
      </c>
      <c r="J541" s="183" t="s">
        <v>12056</v>
      </c>
      <c r="K541">
        <v>0</v>
      </c>
      <c r="L541">
        <v>34</v>
      </c>
    </row>
    <row r="542" spans="1:12">
      <c r="A542" s="183" t="s">
        <v>5028</v>
      </c>
      <c r="B542" s="183" t="s">
        <v>5029</v>
      </c>
      <c r="C542">
        <v>50218118</v>
      </c>
      <c r="D542">
        <v>38</v>
      </c>
      <c r="E542">
        <v>0</v>
      </c>
      <c r="F542">
        <v>0</v>
      </c>
      <c r="G542">
        <v>0</v>
      </c>
      <c r="H542">
        <v>38</v>
      </c>
      <c r="I542" s="183" t="s">
        <v>1017</v>
      </c>
      <c r="J542" s="183" t="s">
        <v>12061</v>
      </c>
      <c r="K542">
        <v>0</v>
      </c>
      <c r="L542">
        <v>38</v>
      </c>
    </row>
    <row r="543" spans="1:12">
      <c r="A543" s="183" t="s">
        <v>5756</v>
      </c>
      <c r="B543" s="183" t="s">
        <v>5757</v>
      </c>
      <c r="C543" t="s">
        <v>12084</v>
      </c>
      <c r="D543">
        <v>230</v>
      </c>
      <c r="E543">
        <v>0</v>
      </c>
      <c r="F543">
        <v>0</v>
      </c>
      <c r="G543">
        <v>0</v>
      </c>
      <c r="H543">
        <v>230</v>
      </c>
      <c r="I543" s="183" t="s">
        <v>1324</v>
      </c>
      <c r="J543" s="183" t="s">
        <v>12085</v>
      </c>
      <c r="K543">
        <v>0</v>
      </c>
      <c r="L543">
        <v>230</v>
      </c>
    </row>
    <row r="544" spans="1:12">
      <c r="A544" s="183" t="s">
        <v>5758</v>
      </c>
      <c r="B544" s="183" t="s">
        <v>5759</v>
      </c>
      <c r="C544" t="s">
        <v>12086</v>
      </c>
      <c r="D544">
        <v>261</v>
      </c>
      <c r="E544">
        <v>0</v>
      </c>
      <c r="F544">
        <v>0</v>
      </c>
      <c r="G544">
        <v>0</v>
      </c>
      <c r="H544">
        <v>261</v>
      </c>
      <c r="I544" s="183" t="s">
        <v>1324</v>
      </c>
      <c r="J544" s="183" t="s">
        <v>12087</v>
      </c>
      <c r="K544">
        <v>0</v>
      </c>
      <c r="L544">
        <v>261</v>
      </c>
    </row>
    <row r="545" spans="1:12">
      <c r="A545" s="183" t="s">
        <v>5525</v>
      </c>
      <c r="B545" s="183" t="s">
        <v>5526</v>
      </c>
      <c r="C545" t="s">
        <v>12088</v>
      </c>
      <c r="D545">
        <v>169</v>
      </c>
      <c r="E545">
        <v>0</v>
      </c>
      <c r="F545">
        <v>0</v>
      </c>
      <c r="G545">
        <v>0</v>
      </c>
      <c r="H545">
        <v>169</v>
      </c>
      <c r="I545" s="183" t="s">
        <v>1324</v>
      </c>
      <c r="J545" s="183" t="s">
        <v>12048</v>
      </c>
      <c r="K545">
        <v>0</v>
      </c>
      <c r="L545">
        <v>169</v>
      </c>
    </row>
    <row r="546" spans="1:12">
      <c r="A546" s="183" t="s">
        <v>6821</v>
      </c>
      <c r="B546" s="183" t="s">
        <v>6822</v>
      </c>
      <c r="C546" t="s">
        <v>12089</v>
      </c>
      <c r="D546">
        <v>181</v>
      </c>
      <c r="E546">
        <v>0</v>
      </c>
      <c r="F546">
        <v>0</v>
      </c>
      <c r="G546">
        <v>0</v>
      </c>
      <c r="H546">
        <v>181</v>
      </c>
      <c r="I546" s="183" t="s">
        <v>1324</v>
      </c>
      <c r="J546" s="183" t="s">
        <v>12048</v>
      </c>
      <c r="K546">
        <v>0</v>
      </c>
      <c r="L546">
        <v>181</v>
      </c>
    </row>
    <row r="547" spans="1:12">
      <c r="A547" s="183" t="s">
        <v>9162</v>
      </c>
      <c r="B547" s="183" t="s">
        <v>9163</v>
      </c>
      <c r="C547" t="s">
        <v>12090</v>
      </c>
      <c r="D547">
        <v>833</v>
      </c>
      <c r="E547">
        <v>0</v>
      </c>
      <c r="F547">
        <v>0</v>
      </c>
      <c r="G547">
        <v>0</v>
      </c>
      <c r="H547">
        <v>833</v>
      </c>
      <c r="I547" s="183" t="s">
        <v>1324</v>
      </c>
      <c r="J547" s="183" t="s">
        <v>12066</v>
      </c>
      <c r="K547">
        <v>0</v>
      </c>
      <c r="L547">
        <v>833</v>
      </c>
    </row>
    <row r="548" spans="1:12">
      <c r="A548" s="183" t="s">
        <v>7603</v>
      </c>
      <c r="B548" s="183" t="s">
        <v>7604</v>
      </c>
      <c r="C548">
        <v>16870220</v>
      </c>
      <c r="D548">
        <v>2</v>
      </c>
      <c r="E548">
        <v>0</v>
      </c>
      <c r="F548">
        <v>0</v>
      </c>
      <c r="G548">
        <v>0</v>
      </c>
      <c r="H548">
        <v>2</v>
      </c>
      <c r="I548" s="183" t="s">
        <v>1110</v>
      </c>
      <c r="J548" s="183" t="s">
        <v>12060</v>
      </c>
      <c r="K548">
        <v>0</v>
      </c>
      <c r="L548">
        <v>2</v>
      </c>
    </row>
    <row r="549" spans="1:12">
      <c r="A549" s="183" t="s">
        <v>3231</v>
      </c>
      <c r="B549" s="183" t="s">
        <v>3232</v>
      </c>
      <c r="C549">
        <v>16870221</v>
      </c>
      <c r="D549">
        <v>59</v>
      </c>
      <c r="E549">
        <v>0</v>
      </c>
      <c r="F549">
        <v>0</v>
      </c>
      <c r="G549">
        <v>0</v>
      </c>
      <c r="H549">
        <v>59</v>
      </c>
      <c r="I549" s="183" t="s">
        <v>1110</v>
      </c>
      <c r="J549" s="183" t="s">
        <v>12056</v>
      </c>
      <c r="K549">
        <v>0</v>
      </c>
      <c r="L549">
        <v>59</v>
      </c>
    </row>
    <row r="550" spans="1:12">
      <c r="A550" s="183" t="s">
        <v>3525</v>
      </c>
      <c r="B550" s="183" t="s">
        <v>3526</v>
      </c>
      <c r="C550">
        <v>16870228</v>
      </c>
      <c r="D550">
        <v>2</v>
      </c>
      <c r="E550">
        <v>0</v>
      </c>
      <c r="F550">
        <v>0</v>
      </c>
      <c r="G550">
        <v>0</v>
      </c>
      <c r="H550">
        <v>2</v>
      </c>
      <c r="I550" s="183" t="s">
        <v>1110</v>
      </c>
      <c r="J550" s="183" t="s">
        <v>12053</v>
      </c>
      <c r="K550">
        <v>0</v>
      </c>
      <c r="L550">
        <v>2</v>
      </c>
    </row>
    <row r="551" spans="1:12">
      <c r="A551" s="183" t="s">
        <v>6800</v>
      </c>
      <c r="B551" s="183" t="s">
        <v>6801</v>
      </c>
      <c r="C551">
        <v>10850199</v>
      </c>
      <c r="D551">
        <v>99</v>
      </c>
      <c r="E551">
        <v>0</v>
      </c>
      <c r="F551">
        <v>0</v>
      </c>
      <c r="G551">
        <v>0</v>
      </c>
      <c r="H551">
        <v>99</v>
      </c>
      <c r="I551" s="183" t="s">
        <v>6632</v>
      </c>
      <c r="J551" s="183" t="s">
        <v>12055</v>
      </c>
      <c r="K551">
        <v>0</v>
      </c>
      <c r="L551">
        <v>99</v>
      </c>
    </row>
    <row r="552" spans="1:12">
      <c r="A552" s="183" t="s">
        <v>6780</v>
      </c>
      <c r="B552" s="183" t="s">
        <v>6781</v>
      </c>
      <c r="C552">
        <v>10850195</v>
      </c>
      <c r="D552">
        <v>33</v>
      </c>
      <c r="E552">
        <v>0</v>
      </c>
      <c r="F552">
        <v>0</v>
      </c>
      <c r="G552">
        <v>0</v>
      </c>
      <c r="H552">
        <v>33</v>
      </c>
      <c r="I552" s="183" t="s">
        <v>6632</v>
      </c>
      <c r="J552" s="183" t="s">
        <v>12056</v>
      </c>
      <c r="K552">
        <v>0</v>
      </c>
      <c r="L552">
        <v>33</v>
      </c>
    </row>
    <row r="553" spans="1:12">
      <c r="A553" s="183" t="s">
        <v>6725</v>
      </c>
      <c r="B553" s="183" t="s">
        <v>6726</v>
      </c>
      <c r="C553">
        <v>10850186</v>
      </c>
      <c r="D553">
        <v>85</v>
      </c>
      <c r="E553">
        <v>0</v>
      </c>
      <c r="F553">
        <v>0</v>
      </c>
      <c r="G553">
        <v>0</v>
      </c>
      <c r="H553">
        <v>85</v>
      </c>
      <c r="I553" s="183" t="s">
        <v>6632</v>
      </c>
      <c r="J553" s="183" t="s">
        <v>12059</v>
      </c>
      <c r="K553">
        <v>0</v>
      </c>
      <c r="L553">
        <v>85</v>
      </c>
    </row>
    <row r="554" spans="1:12">
      <c r="A554" s="183" t="s">
        <v>6675</v>
      </c>
      <c r="B554" s="183" t="s">
        <v>6676</v>
      </c>
      <c r="C554">
        <v>10850178</v>
      </c>
      <c r="D554">
        <v>67</v>
      </c>
      <c r="E554">
        <v>0</v>
      </c>
      <c r="F554">
        <v>0</v>
      </c>
      <c r="G554">
        <v>0</v>
      </c>
      <c r="H554">
        <v>67</v>
      </c>
      <c r="I554" s="183" t="s">
        <v>6632</v>
      </c>
      <c r="J554" s="183" t="s">
        <v>12060</v>
      </c>
      <c r="K554">
        <v>0</v>
      </c>
      <c r="L554">
        <v>67</v>
      </c>
    </row>
    <row r="555" spans="1:12">
      <c r="A555" s="183" t="s">
        <v>6782</v>
      </c>
      <c r="B555" s="183" t="s">
        <v>6783</v>
      </c>
      <c r="C555">
        <v>10850168</v>
      </c>
      <c r="D555">
        <v>29</v>
      </c>
      <c r="E555">
        <v>0</v>
      </c>
      <c r="F555">
        <v>0</v>
      </c>
      <c r="G555">
        <v>0</v>
      </c>
      <c r="H555">
        <v>29</v>
      </c>
      <c r="I555" s="183" t="s">
        <v>6632</v>
      </c>
      <c r="J555" s="183" t="s">
        <v>12056</v>
      </c>
      <c r="K555">
        <v>0</v>
      </c>
      <c r="L555">
        <v>29</v>
      </c>
    </row>
    <row r="556" spans="1:12">
      <c r="A556" s="183" t="s">
        <v>6709</v>
      </c>
      <c r="B556" s="183" t="s">
        <v>6710</v>
      </c>
      <c r="C556">
        <v>10850162</v>
      </c>
      <c r="D556">
        <v>109</v>
      </c>
      <c r="E556">
        <v>0</v>
      </c>
      <c r="F556">
        <v>0</v>
      </c>
      <c r="G556">
        <v>0</v>
      </c>
      <c r="H556">
        <v>109</v>
      </c>
      <c r="I556" s="183" t="s">
        <v>6632</v>
      </c>
      <c r="J556" s="183" t="s">
        <v>12061</v>
      </c>
      <c r="K556">
        <v>0</v>
      </c>
      <c r="L556">
        <v>109</v>
      </c>
    </row>
    <row r="557" spans="1:12">
      <c r="A557" s="183" t="s">
        <v>6677</v>
      </c>
      <c r="B557" s="183" t="s">
        <v>6678</v>
      </c>
      <c r="C557">
        <v>10850150</v>
      </c>
      <c r="D557">
        <v>84</v>
      </c>
      <c r="E557">
        <v>0</v>
      </c>
      <c r="F557">
        <v>0</v>
      </c>
      <c r="G557">
        <v>0</v>
      </c>
      <c r="H557">
        <v>84</v>
      </c>
      <c r="I557" s="183" t="s">
        <v>6632</v>
      </c>
      <c r="J557" s="183" t="s">
        <v>12052</v>
      </c>
      <c r="K557">
        <v>0</v>
      </c>
      <c r="L557">
        <v>84</v>
      </c>
    </row>
    <row r="558" spans="1:12">
      <c r="A558" s="183" t="s">
        <v>6770</v>
      </c>
      <c r="B558" s="183" t="s">
        <v>6771</v>
      </c>
      <c r="C558">
        <v>10850142</v>
      </c>
      <c r="D558">
        <v>29</v>
      </c>
      <c r="E558">
        <v>0</v>
      </c>
      <c r="F558">
        <v>0</v>
      </c>
      <c r="G558">
        <v>0</v>
      </c>
      <c r="H558">
        <v>29</v>
      </c>
      <c r="I558" s="183" t="s">
        <v>6632</v>
      </c>
      <c r="J558" s="183" t="s">
        <v>12056</v>
      </c>
      <c r="K558">
        <v>0</v>
      </c>
      <c r="L558">
        <v>29</v>
      </c>
    </row>
    <row r="559" spans="1:12">
      <c r="A559" s="183" t="s">
        <v>6690</v>
      </c>
      <c r="B559" s="183" t="s">
        <v>6691</v>
      </c>
      <c r="C559">
        <v>10850203</v>
      </c>
      <c r="D559">
        <v>129</v>
      </c>
      <c r="E559">
        <v>0</v>
      </c>
      <c r="F559">
        <v>0</v>
      </c>
      <c r="G559">
        <v>0</v>
      </c>
      <c r="H559">
        <v>129</v>
      </c>
      <c r="I559" s="183" t="s">
        <v>6632</v>
      </c>
      <c r="J559" s="183" t="s">
        <v>12058</v>
      </c>
      <c r="K559">
        <v>0</v>
      </c>
      <c r="L559">
        <v>129</v>
      </c>
    </row>
    <row r="560" spans="1:12">
      <c r="A560" s="183" t="s">
        <v>6657</v>
      </c>
      <c r="B560" s="183" t="s">
        <v>6658</v>
      </c>
      <c r="C560">
        <v>10850206</v>
      </c>
      <c r="D560">
        <v>15</v>
      </c>
      <c r="E560">
        <v>0</v>
      </c>
      <c r="F560">
        <v>0</v>
      </c>
      <c r="G560">
        <v>0</v>
      </c>
      <c r="H560">
        <v>15</v>
      </c>
      <c r="I560" s="183" t="s">
        <v>6632</v>
      </c>
      <c r="J560" s="183" t="s">
        <v>12054</v>
      </c>
      <c r="K560">
        <v>0</v>
      </c>
      <c r="L560">
        <v>15</v>
      </c>
    </row>
    <row r="561" spans="1:12">
      <c r="A561" s="183" t="s">
        <v>6744</v>
      </c>
      <c r="B561" s="183" t="s">
        <v>6745</v>
      </c>
      <c r="C561">
        <v>10850208</v>
      </c>
      <c r="D561">
        <v>33</v>
      </c>
      <c r="E561">
        <v>0</v>
      </c>
      <c r="F561">
        <v>0</v>
      </c>
      <c r="G561">
        <v>0</v>
      </c>
      <c r="H561">
        <v>33</v>
      </c>
      <c r="I561" s="183" t="s">
        <v>6632</v>
      </c>
      <c r="J561" s="183" t="s">
        <v>12058</v>
      </c>
      <c r="K561">
        <v>0</v>
      </c>
      <c r="L561">
        <v>33</v>
      </c>
    </row>
    <row r="562" spans="1:12">
      <c r="A562" s="183" t="s">
        <v>6768</v>
      </c>
      <c r="B562" s="183" t="s">
        <v>6769</v>
      </c>
      <c r="C562">
        <v>10850238</v>
      </c>
      <c r="D562">
        <v>97</v>
      </c>
      <c r="E562">
        <v>0</v>
      </c>
      <c r="F562">
        <v>0</v>
      </c>
      <c r="G562">
        <v>0</v>
      </c>
      <c r="H562">
        <v>97</v>
      </c>
      <c r="I562" s="183" t="s">
        <v>6632</v>
      </c>
      <c r="J562" s="183" t="s">
        <v>12052</v>
      </c>
      <c r="K562">
        <v>0</v>
      </c>
      <c r="L562">
        <v>97</v>
      </c>
    </row>
    <row r="563" spans="1:12">
      <c r="A563" s="183" t="s">
        <v>6887</v>
      </c>
      <c r="B563" s="183" t="s">
        <v>6888</v>
      </c>
      <c r="C563">
        <v>10850240</v>
      </c>
      <c r="D563">
        <v>39</v>
      </c>
      <c r="E563">
        <v>0</v>
      </c>
      <c r="F563">
        <v>0</v>
      </c>
      <c r="G563">
        <v>0</v>
      </c>
      <c r="H563">
        <v>39</v>
      </c>
      <c r="I563" s="183" t="s">
        <v>6632</v>
      </c>
      <c r="J563" s="183" t="s">
        <v>12056</v>
      </c>
      <c r="K563">
        <v>0</v>
      </c>
      <c r="L563">
        <v>39</v>
      </c>
    </row>
    <row r="564" spans="1:12">
      <c r="A564" s="183" t="s">
        <v>6659</v>
      </c>
      <c r="B564" s="183" t="s">
        <v>6660</v>
      </c>
      <c r="C564">
        <v>10850242</v>
      </c>
      <c r="D564">
        <v>16</v>
      </c>
      <c r="E564">
        <v>0</v>
      </c>
      <c r="F564">
        <v>0</v>
      </c>
      <c r="G564">
        <v>0</v>
      </c>
      <c r="H564">
        <v>16</v>
      </c>
      <c r="I564" s="183" t="s">
        <v>6632</v>
      </c>
      <c r="J564" s="183" t="s">
        <v>12056</v>
      </c>
      <c r="K564">
        <v>0</v>
      </c>
      <c r="L564">
        <v>16</v>
      </c>
    </row>
    <row r="565" spans="1:12">
      <c r="A565" s="183" t="s">
        <v>6692</v>
      </c>
      <c r="B565" s="183" t="s">
        <v>6693</v>
      </c>
      <c r="C565">
        <v>10850254</v>
      </c>
      <c r="D565">
        <v>28</v>
      </c>
      <c r="E565">
        <v>0</v>
      </c>
      <c r="F565">
        <v>0</v>
      </c>
      <c r="G565">
        <v>0</v>
      </c>
      <c r="H565">
        <v>28</v>
      </c>
      <c r="I565" s="183" t="s">
        <v>6632</v>
      </c>
      <c r="J565" s="183" t="s">
        <v>12056</v>
      </c>
      <c r="K565">
        <v>0</v>
      </c>
      <c r="L565">
        <v>28</v>
      </c>
    </row>
    <row r="566" spans="1:12">
      <c r="A566" s="183" t="s">
        <v>6881</v>
      </c>
      <c r="B566" s="183" t="s">
        <v>6882</v>
      </c>
      <c r="C566">
        <v>10850280</v>
      </c>
      <c r="D566">
        <v>24</v>
      </c>
      <c r="E566">
        <v>0</v>
      </c>
      <c r="F566">
        <v>0</v>
      </c>
      <c r="G566">
        <v>0</v>
      </c>
      <c r="H566">
        <v>24</v>
      </c>
      <c r="I566" s="183" t="s">
        <v>6632</v>
      </c>
      <c r="J566" s="183" t="s">
        <v>12058</v>
      </c>
      <c r="K566">
        <v>0</v>
      </c>
      <c r="L566">
        <v>24</v>
      </c>
    </row>
    <row r="567" spans="1:12">
      <c r="A567" s="183" t="s">
        <v>8676</v>
      </c>
      <c r="B567" s="183" t="s">
        <v>8677</v>
      </c>
      <c r="C567">
        <v>10870205</v>
      </c>
      <c r="D567">
        <v>43</v>
      </c>
      <c r="E567">
        <v>0</v>
      </c>
      <c r="F567">
        <v>0</v>
      </c>
      <c r="G567">
        <v>0</v>
      </c>
      <c r="H567">
        <v>43</v>
      </c>
      <c r="I567" s="183" t="s">
        <v>7602</v>
      </c>
      <c r="J567" s="183" t="s">
        <v>12060</v>
      </c>
      <c r="K567">
        <v>0</v>
      </c>
      <c r="L567">
        <v>43</v>
      </c>
    </row>
    <row r="568" spans="1:12">
      <c r="A568" s="183" t="s">
        <v>7651</v>
      </c>
      <c r="B568" s="183" t="s">
        <v>7652</v>
      </c>
      <c r="C568">
        <v>10870216</v>
      </c>
      <c r="D568">
        <v>8</v>
      </c>
      <c r="E568">
        <v>0</v>
      </c>
      <c r="F568">
        <v>0</v>
      </c>
      <c r="G568">
        <v>0</v>
      </c>
      <c r="H568">
        <v>8</v>
      </c>
      <c r="I568" s="183" t="s">
        <v>7602</v>
      </c>
      <c r="J568" s="183" t="s">
        <v>12061</v>
      </c>
      <c r="K568">
        <v>0</v>
      </c>
      <c r="L568">
        <v>8</v>
      </c>
    </row>
    <row r="569" spans="1:12">
      <c r="A569" s="183" t="s">
        <v>7637</v>
      </c>
      <c r="B569" s="183" t="s">
        <v>7638</v>
      </c>
      <c r="C569">
        <v>10870223</v>
      </c>
      <c r="D569">
        <v>46</v>
      </c>
      <c r="E569">
        <v>0</v>
      </c>
      <c r="F569">
        <v>0</v>
      </c>
      <c r="G569">
        <v>0</v>
      </c>
      <c r="H569">
        <v>46</v>
      </c>
      <c r="I569" s="183" t="s">
        <v>7602</v>
      </c>
      <c r="J569" s="183" t="s">
        <v>12058</v>
      </c>
      <c r="K569">
        <v>0</v>
      </c>
      <c r="L569">
        <v>46</v>
      </c>
    </row>
    <row r="570" spans="1:12">
      <c r="A570" s="183" t="s">
        <v>7455</v>
      </c>
      <c r="B570" s="183" t="s">
        <v>7456</v>
      </c>
      <c r="C570">
        <v>10890211</v>
      </c>
      <c r="D570">
        <v>121</v>
      </c>
      <c r="E570">
        <v>0</v>
      </c>
      <c r="F570">
        <v>0</v>
      </c>
      <c r="G570">
        <v>0</v>
      </c>
      <c r="H570">
        <v>121</v>
      </c>
      <c r="I570" s="183" t="s">
        <v>7423</v>
      </c>
      <c r="J570" s="183" t="s">
        <v>12057</v>
      </c>
      <c r="K570">
        <v>0</v>
      </c>
      <c r="L570">
        <v>121</v>
      </c>
    </row>
    <row r="571" spans="1:12">
      <c r="A571" s="183" t="s">
        <v>7448</v>
      </c>
      <c r="B571" s="183" t="s">
        <v>7449</v>
      </c>
      <c r="C571">
        <v>10890214</v>
      </c>
      <c r="D571">
        <v>43</v>
      </c>
      <c r="E571">
        <v>0</v>
      </c>
      <c r="F571">
        <v>0</v>
      </c>
      <c r="G571">
        <v>0</v>
      </c>
      <c r="H571">
        <v>43</v>
      </c>
      <c r="I571" s="183" t="s">
        <v>7423</v>
      </c>
      <c r="J571" s="183" t="s">
        <v>12050</v>
      </c>
      <c r="K571">
        <v>0</v>
      </c>
      <c r="L571">
        <v>43</v>
      </c>
    </row>
    <row r="572" spans="1:12">
      <c r="A572" s="183" t="s">
        <v>7434</v>
      </c>
      <c r="B572" s="183" t="s">
        <v>7435</v>
      </c>
      <c r="C572">
        <v>10890215</v>
      </c>
      <c r="D572">
        <v>128</v>
      </c>
      <c r="E572">
        <v>0</v>
      </c>
      <c r="F572">
        <v>0</v>
      </c>
      <c r="G572">
        <v>0</v>
      </c>
      <c r="H572">
        <v>128</v>
      </c>
      <c r="I572" s="183" t="s">
        <v>7423</v>
      </c>
      <c r="J572" s="183" t="s">
        <v>12056</v>
      </c>
      <c r="K572">
        <v>0</v>
      </c>
      <c r="L572">
        <v>128</v>
      </c>
    </row>
    <row r="573" spans="1:12">
      <c r="A573" s="183" t="s">
        <v>7442</v>
      </c>
      <c r="B573" s="183" t="s">
        <v>7443</v>
      </c>
      <c r="C573">
        <v>10890228</v>
      </c>
      <c r="D573">
        <v>40</v>
      </c>
      <c r="E573">
        <v>0</v>
      </c>
      <c r="F573">
        <v>0</v>
      </c>
      <c r="G573">
        <v>0</v>
      </c>
      <c r="H573">
        <v>40</v>
      </c>
      <c r="I573" s="183" t="s">
        <v>7423</v>
      </c>
      <c r="J573" s="183" t="s">
        <v>12059</v>
      </c>
      <c r="K573">
        <v>0</v>
      </c>
      <c r="L573">
        <v>40</v>
      </c>
    </row>
    <row r="574" spans="1:12">
      <c r="A574" s="183" t="s">
        <v>7631</v>
      </c>
      <c r="B574" s="183" t="s">
        <v>7632</v>
      </c>
      <c r="C574">
        <v>11870211</v>
      </c>
      <c r="D574">
        <v>20</v>
      </c>
      <c r="E574">
        <v>0</v>
      </c>
      <c r="F574">
        <v>0</v>
      </c>
      <c r="G574">
        <v>0</v>
      </c>
      <c r="H574">
        <v>20</v>
      </c>
      <c r="I574" s="183" t="s">
        <v>1132</v>
      </c>
      <c r="J574" s="183" t="s">
        <v>12058</v>
      </c>
      <c r="K574">
        <v>0</v>
      </c>
      <c r="L574">
        <v>20</v>
      </c>
    </row>
    <row r="575" spans="1:12">
      <c r="A575" s="183" t="s">
        <v>51</v>
      </c>
      <c r="B575" s="183" t="s">
        <v>52</v>
      </c>
      <c r="C575">
        <v>50200318</v>
      </c>
      <c r="D575">
        <v>62</v>
      </c>
      <c r="E575">
        <v>0</v>
      </c>
      <c r="F575">
        <v>0</v>
      </c>
      <c r="G575">
        <v>0</v>
      </c>
      <c r="H575">
        <v>62</v>
      </c>
      <c r="I575" s="183" t="s">
        <v>1017</v>
      </c>
      <c r="J575" s="183" t="s">
        <v>12052</v>
      </c>
      <c r="K575">
        <v>0</v>
      </c>
      <c r="L575">
        <v>62</v>
      </c>
    </row>
    <row r="576" spans="1:12">
      <c r="A576" s="183" t="s">
        <v>55</v>
      </c>
      <c r="B576" s="183" t="s">
        <v>56</v>
      </c>
      <c r="C576">
        <v>50200518</v>
      </c>
      <c r="D576">
        <v>39</v>
      </c>
      <c r="E576">
        <v>0</v>
      </c>
      <c r="F576">
        <v>0</v>
      </c>
      <c r="G576">
        <v>0</v>
      </c>
      <c r="H576">
        <v>39</v>
      </c>
      <c r="I576" s="183" t="s">
        <v>1017</v>
      </c>
      <c r="J576" s="183" t="s">
        <v>12061</v>
      </c>
      <c r="K576">
        <v>0</v>
      </c>
      <c r="L576">
        <v>39</v>
      </c>
    </row>
    <row r="577" spans="1:12">
      <c r="A577" s="183" t="s">
        <v>57</v>
      </c>
      <c r="B577" s="183" t="s">
        <v>58</v>
      </c>
      <c r="C577">
        <v>50201218</v>
      </c>
      <c r="D577">
        <v>54</v>
      </c>
      <c r="E577">
        <v>0</v>
      </c>
      <c r="F577">
        <v>8</v>
      </c>
      <c r="G577">
        <v>0</v>
      </c>
      <c r="H577">
        <v>62</v>
      </c>
      <c r="I577" s="183" t="s">
        <v>1017</v>
      </c>
      <c r="J577" s="183" t="s">
        <v>12060</v>
      </c>
      <c r="K577">
        <v>0</v>
      </c>
      <c r="L577">
        <v>54</v>
      </c>
    </row>
    <row r="578" spans="1:12">
      <c r="A578" s="183" t="s">
        <v>7076</v>
      </c>
      <c r="B578" s="183" t="s">
        <v>7077</v>
      </c>
      <c r="C578">
        <v>50202209</v>
      </c>
      <c r="D578">
        <v>33</v>
      </c>
      <c r="E578">
        <v>0</v>
      </c>
      <c r="F578">
        <v>0</v>
      </c>
      <c r="G578">
        <v>0</v>
      </c>
      <c r="H578">
        <v>33</v>
      </c>
      <c r="I578" s="183" t="s">
        <v>1017</v>
      </c>
      <c r="J578" s="183" t="s">
        <v>12058</v>
      </c>
      <c r="K578">
        <v>0</v>
      </c>
      <c r="L578">
        <v>33</v>
      </c>
    </row>
    <row r="579" spans="1:12">
      <c r="A579" s="183" t="s">
        <v>3487</v>
      </c>
      <c r="B579" s="183" t="s">
        <v>3488</v>
      </c>
      <c r="C579">
        <v>50204318</v>
      </c>
      <c r="D579">
        <v>74</v>
      </c>
      <c r="E579">
        <v>0</v>
      </c>
      <c r="F579">
        <v>0</v>
      </c>
      <c r="G579">
        <v>0</v>
      </c>
      <c r="H579">
        <v>74</v>
      </c>
      <c r="I579" s="183" t="s">
        <v>1017</v>
      </c>
      <c r="J579" s="183" t="s">
        <v>12057</v>
      </c>
      <c r="K579">
        <v>0</v>
      </c>
      <c r="L579">
        <v>74</v>
      </c>
    </row>
    <row r="580" spans="1:12">
      <c r="A580" s="183" t="s">
        <v>72</v>
      </c>
      <c r="B580" s="183" t="s">
        <v>73</v>
      </c>
      <c r="C580">
        <v>50204518</v>
      </c>
      <c r="D580">
        <v>43</v>
      </c>
      <c r="E580">
        <v>0</v>
      </c>
      <c r="F580">
        <v>0</v>
      </c>
      <c r="G580">
        <v>0</v>
      </c>
      <c r="H580">
        <v>43</v>
      </c>
      <c r="I580" s="183" t="s">
        <v>1017</v>
      </c>
      <c r="J580" s="183" t="s">
        <v>12060</v>
      </c>
      <c r="K580">
        <v>0</v>
      </c>
      <c r="L580">
        <v>43</v>
      </c>
    </row>
    <row r="581" spans="1:12">
      <c r="A581" s="183" t="s">
        <v>7026</v>
      </c>
      <c r="B581" s="183" t="s">
        <v>7027</v>
      </c>
      <c r="C581">
        <v>50206309</v>
      </c>
      <c r="D581">
        <v>29</v>
      </c>
      <c r="E581">
        <v>0</v>
      </c>
      <c r="F581">
        <v>0</v>
      </c>
      <c r="G581">
        <v>0</v>
      </c>
      <c r="H581">
        <v>29</v>
      </c>
      <c r="I581" s="183" t="s">
        <v>1017</v>
      </c>
      <c r="J581" s="183" t="s">
        <v>12055</v>
      </c>
      <c r="K581">
        <v>0</v>
      </c>
      <c r="L581">
        <v>29</v>
      </c>
    </row>
    <row r="582" spans="1:12">
      <c r="A582" s="183" t="s">
        <v>3066</v>
      </c>
      <c r="B582" s="183" t="s">
        <v>3067</v>
      </c>
      <c r="C582">
        <v>50209218</v>
      </c>
      <c r="D582">
        <v>33</v>
      </c>
      <c r="E582">
        <v>0</v>
      </c>
      <c r="F582">
        <v>0</v>
      </c>
      <c r="G582">
        <v>0</v>
      </c>
      <c r="H582">
        <v>33</v>
      </c>
      <c r="I582" s="183" t="s">
        <v>1017</v>
      </c>
      <c r="J582" s="183" t="s">
        <v>12059</v>
      </c>
      <c r="K582">
        <v>0</v>
      </c>
      <c r="L582">
        <v>33</v>
      </c>
    </row>
    <row r="583" spans="1:12">
      <c r="A583" s="183" t="s">
        <v>7088</v>
      </c>
      <c r="B583" s="183" t="s">
        <v>7089</v>
      </c>
      <c r="C583">
        <v>50209309</v>
      </c>
      <c r="D583">
        <v>29</v>
      </c>
      <c r="E583">
        <v>0</v>
      </c>
      <c r="F583">
        <v>0</v>
      </c>
      <c r="G583">
        <v>0</v>
      </c>
      <c r="H583">
        <v>29</v>
      </c>
      <c r="I583" s="183" t="s">
        <v>1017</v>
      </c>
      <c r="J583" s="183" t="s">
        <v>12052</v>
      </c>
      <c r="K583">
        <v>0</v>
      </c>
      <c r="L583">
        <v>29</v>
      </c>
    </row>
    <row r="584" spans="1:12">
      <c r="A584" s="183" t="s">
        <v>7133</v>
      </c>
      <c r="B584" s="183" t="s">
        <v>7134</v>
      </c>
      <c r="C584">
        <v>50209509</v>
      </c>
      <c r="D584">
        <v>16</v>
      </c>
      <c r="E584">
        <v>0</v>
      </c>
      <c r="F584">
        <v>0</v>
      </c>
      <c r="G584">
        <v>0</v>
      </c>
      <c r="H584">
        <v>16</v>
      </c>
      <c r="I584" s="183" t="s">
        <v>1017</v>
      </c>
      <c r="J584" s="183" t="s">
        <v>12050</v>
      </c>
      <c r="K584">
        <v>0</v>
      </c>
      <c r="L584">
        <v>16</v>
      </c>
    </row>
    <row r="585" spans="1:12">
      <c r="A585" s="183" t="s">
        <v>3022</v>
      </c>
      <c r="B585" s="183" t="s">
        <v>3023</v>
      </c>
      <c r="C585">
        <v>50210418</v>
      </c>
      <c r="D585">
        <v>29</v>
      </c>
      <c r="E585">
        <v>0</v>
      </c>
      <c r="F585">
        <v>0</v>
      </c>
      <c r="G585">
        <v>0</v>
      </c>
      <c r="H585">
        <v>29</v>
      </c>
      <c r="I585" s="183" t="s">
        <v>1017</v>
      </c>
      <c r="J585" s="183" t="s">
        <v>12058</v>
      </c>
      <c r="K585">
        <v>0</v>
      </c>
      <c r="L585">
        <v>29</v>
      </c>
    </row>
    <row r="586" spans="1:12">
      <c r="A586" s="183" t="s">
        <v>7028</v>
      </c>
      <c r="B586" s="183" t="s">
        <v>7029</v>
      </c>
      <c r="C586">
        <v>50213209</v>
      </c>
      <c r="D586">
        <v>42</v>
      </c>
      <c r="E586">
        <v>0</v>
      </c>
      <c r="F586">
        <v>0</v>
      </c>
      <c r="G586">
        <v>0</v>
      </c>
      <c r="H586">
        <v>42</v>
      </c>
      <c r="I586" s="183" t="s">
        <v>1017</v>
      </c>
      <c r="J586" s="183" t="s">
        <v>12052</v>
      </c>
      <c r="K586">
        <v>0</v>
      </c>
      <c r="L586">
        <v>42</v>
      </c>
    </row>
    <row r="587" spans="1:12">
      <c r="A587" s="183" t="s">
        <v>3421</v>
      </c>
      <c r="B587" s="183" t="s">
        <v>3422</v>
      </c>
      <c r="C587">
        <v>50213318</v>
      </c>
      <c r="D587">
        <v>24</v>
      </c>
      <c r="E587">
        <v>0</v>
      </c>
      <c r="F587">
        <v>0</v>
      </c>
      <c r="G587">
        <v>0</v>
      </c>
      <c r="H587">
        <v>24</v>
      </c>
      <c r="I587" s="183" t="s">
        <v>1017</v>
      </c>
      <c r="J587" s="183" t="s">
        <v>12055</v>
      </c>
      <c r="K587">
        <v>0</v>
      </c>
      <c r="L587">
        <v>24</v>
      </c>
    </row>
    <row r="588" spans="1:12">
      <c r="A588" s="183" t="s">
        <v>6956</v>
      </c>
      <c r="B588" s="183" t="s">
        <v>6957</v>
      </c>
      <c r="C588">
        <v>50217109</v>
      </c>
      <c r="D588">
        <v>26</v>
      </c>
      <c r="E588">
        <v>0</v>
      </c>
      <c r="F588">
        <v>0</v>
      </c>
      <c r="G588">
        <v>0</v>
      </c>
      <c r="H588">
        <v>26</v>
      </c>
      <c r="I588" s="183" t="s">
        <v>1017</v>
      </c>
      <c r="J588" s="183" t="s">
        <v>12054</v>
      </c>
      <c r="K588">
        <v>0</v>
      </c>
      <c r="L588">
        <v>26</v>
      </c>
    </row>
    <row r="589" spans="1:12">
      <c r="A589" s="183" t="s">
        <v>3427</v>
      </c>
      <c r="B589" s="183" t="s">
        <v>3428</v>
      </c>
      <c r="C589">
        <v>50210318</v>
      </c>
      <c r="D589">
        <v>66</v>
      </c>
      <c r="E589">
        <v>0</v>
      </c>
      <c r="F589">
        <v>0</v>
      </c>
      <c r="G589">
        <v>0</v>
      </c>
      <c r="H589">
        <v>66</v>
      </c>
      <c r="I589" s="183" t="s">
        <v>1017</v>
      </c>
      <c r="J589" s="183" t="s">
        <v>12060</v>
      </c>
      <c r="K589">
        <v>0</v>
      </c>
      <c r="L589">
        <v>66</v>
      </c>
    </row>
    <row r="590" spans="1:12">
      <c r="A590" s="183" t="s">
        <v>7094</v>
      </c>
      <c r="B590" s="183" t="s">
        <v>7095</v>
      </c>
      <c r="C590">
        <v>50210409</v>
      </c>
      <c r="D590">
        <v>17</v>
      </c>
      <c r="E590">
        <v>0</v>
      </c>
      <c r="F590">
        <v>0</v>
      </c>
      <c r="G590">
        <v>0</v>
      </c>
      <c r="H590">
        <v>17</v>
      </c>
      <c r="I590" s="183" t="s">
        <v>1017</v>
      </c>
      <c r="J590" s="183" t="s">
        <v>12050</v>
      </c>
      <c r="K590">
        <v>0</v>
      </c>
      <c r="L590">
        <v>17</v>
      </c>
    </row>
    <row r="591" spans="1:12">
      <c r="A591" s="183" t="s">
        <v>7010</v>
      </c>
      <c r="B591" s="183" t="s">
        <v>7011</v>
      </c>
      <c r="C591">
        <v>50211209</v>
      </c>
      <c r="D591">
        <v>26</v>
      </c>
      <c r="E591">
        <v>0</v>
      </c>
      <c r="F591">
        <v>0</v>
      </c>
      <c r="G591">
        <v>0</v>
      </c>
      <c r="H591">
        <v>26</v>
      </c>
      <c r="I591" s="183" t="s">
        <v>1017</v>
      </c>
      <c r="J591" s="183" t="s">
        <v>12055</v>
      </c>
      <c r="K591">
        <v>0</v>
      </c>
      <c r="L591">
        <v>26</v>
      </c>
    </row>
    <row r="592" spans="1:12">
      <c r="A592" s="183" t="s">
        <v>4994</v>
      </c>
      <c r="B592" s="183" t="s">
        <v>4995</v>
      </c>
      <c r="C592">
        <v>50214318</v>
      </c>
      <c r="D592">
        <v>35</v>
      </c>
      <c r="E592">
        <v>0</v>
      </c>
      <c r="F592">
        <v>0</v>
      </c>
      <c r="G592">
        <v>0</v>
      </c>
      <c r="H592">
        <v>35</v>
      </c>
      <c r="I592" s="183" t="s">
        <v>1017</v>
      </c>
      <c r="J592" s="183" t="s">
        <v>12052</v>
      </c>
      <c r="K592">
        <v>0</v>
      </c>
      <c r="L592">
        <v>35</v>
      </c>
    </row>
    <row r="593" spans="1:12">
      <c r="A593" s="183" t="s">
        <v>3414</v>
      </c>
      <c r="B593" s="183" t="s">
        <v>3415</v>
      </c>
      <c r="C593">
        <v>50215118</v>
      </c>
      <c r="D593">
        <v>14</v>
      </c>
      <c r="E593">
        <v>0</v>
      </c>
      <c r="F593">
        <v>0</v>
      </c>
      <c r="G593">
        <v>0</v>
      </c>
      <c r="H593">
        <v>14</v>
      </c>
      <c r="I593" s="183" t="s">
        <v>1017</v>
      </c>
      <c r="J593" s="183" t="s">
        <v>12063</v>
      </c>
      <c r="K593">
        <v>0</v>
      </c>
      <c r="L593">
        <v>14</v>
      </c>
    </row>
    <row r="594" spans="1:12">
      <c r="A594" s="183" t="s">
        <v>5002</v>
      </c>
      <c r="B594" s="183" t="s">
        <v>5003</v>
      </c>
      <c r="C594">
        <v>50217418</v>
      </c>
      <c r="D594">
        <v>2</v>
      </c>
      <c r="E594">
        <v>0</v>
      </c>
      <c r="F594">
        <v>0</v>
      </c>
      <c r="G594">
        <v>0</v>
      </c>
      <c r="H594">
        <v>2</v>
      </c>
      <c r="I594" s="183" t="s">
        <v>1017</v>
      </c>
      <c r="J594" s="183" t="s">
        <v>12052</v>
      </c>
      <c r="K594">
        <v>0</v>
      </c>
      <c r="L594">
        <v>2</v>
      </c>
    </row>
    <row r="595" spans="1:12">
      <c r="A595" s="183" t="s">
        <v>8013</v>
      </c>
      <c r="B595" s="183" t="s">
        <v>8014</v>
      </c>
      <c r="C595">
        <v>50218318</v>
      </c>
      <c r="D595">
        <v>9</v>
      </c>
      <c r="E595">
        <v>0</v>
      </c>
      <c r="F595">
        <v>0</v>
      </c>
      <c r="G595">
        <v>0</v>
      </c>
      <c r="H595">
        <v>9</v>
      </c>
      <c r="I595" s="183" t="s">
        <v>1017</v>
      </c>
      <c r="J595" s="183" t="s">
        <v>12052</v>
      </c>
      <c r="K595">
        <v>0</v>
      </c>
      <c r="L595">
        <v>9</v>
      </c>
    </row>
    <row r="596" spans="1:12">
      <c r="A596" s="183" t="s">
        <v>5008</v>
      </c>
      <c r="B596" s="183" t="s">
        <v>5009</v>
      </c>
      <c r="C596">
        <v>50219318</v>
      </c>
      <c r="D596">
        <v>35</v>
      </c>
      <c r="E596">
        <v>0</v>
      </c>
      <c r="F596">
        <v>0</v>
      </c>
      <c r="G596">
        <v>0</v>
      </c>
      <c r="H596">
        <v>35</v>
      </c>
      <c r="I596" s="183" t="s">
        <v>1017</v>
      </c>
      <c r="J596" s="183" t="s">
        <v>12091</v>
      </c>
      <c r="K596">
        <v>0</v>
      </c>
      <c r="L596">
        <v>35</v>
      </c>
    </row>
    <row r="597" spans="1:12">
      <c r="A597" s="183" t="s">
        <v>7250</v>
      </c>
      <c r="B597" s="183" t="s">
        <v>7251</v>
      </c>
      <c r="C597">
        <v>50219509</v>
      </c>
      <c r="D597">
        <v>28</v>
      </c>
      <c r="E597">
        <v>0</v>
      </c>
      <c r="F597">
        <v>0</v>
      </c>
      <c r="G597">
        <v>0</v>
      </c>
      <c r="H597">
        <v>28</v>
      </c>
      <c r="I597" s="183" t="s">
        <v>1017</v>
      </c>
      <c r="J597" s="183" t="s">
        <v>12061</v>
      </c>
      <c r="K597">
        <v>0</v>
      </c>
      <c r="L597">
        <v>28</v>
      </c>
    </row>
    <row r="598" spans="1:12">
      <c r="A598" s="183" t="s">
        <v>3744</v>
      </c>
      <c r="B598" s="183" t="s">
        <v>3745</v>
      </c>
      <c r="C598">
        <v>50221118</v>
      </c>
      <c r="D598">
        <v>36</v>
      </c>
      <c r="E598">
        <v>0</v>
      </c>
      <c r="F598">
        <v>0</v>
      </c>
      <c r="G598">
        <v>0</v>
      </c>
      <c r="H598">
        <v>36</v>
      </c>
      <c r="I598" s="183" t="s">
        <v>1017</v>
      </c>
      <c r="J598" s="183" t="s">
        <v>12061</v>
      </c>
      <c r="K598">
        <v>0</v>
      </c>
      <c r="L598">
        <v>36</v>
      </c>
    </row>
    <row r="599" spans="1:12">
      <c r="A599" s="183" t="s">
        <v>3419</v>
      </c>
      <c r="B599" s="183" t="s">
        <v>3420</v>
      </c>
      <c r="C599">
        <v>50223118</v>
      </c>
      <c r="D599">
        <v>54</v>
      </c>
      <c r="E599">
        <v>0</v>
      </c>
      <c r="F599">
        <v>0</v>
      </c>
      <c r="G599">
        <v>0</v>
      </c>
      <c r="H599">
        <v>54</v>
      </c>
      <c r="I599" s="183" t="s">
        <v>1017</v>
      </c>
      <c r="J599" s="183" t="s">
        <v>12056</v>
      </c>
      <c r="K599">
        <v>0</v>
      </c>
      <c r="L599">
        <v>54</v>
      </c>
    </row>
    <row r="600" spans="1:12">
      <c r="A600" s="183" t="s">
        <v>3051</v>
      </c>
      <c r="B600" s="183" t="s">
        <v>3052</v>
      </c>
      <c r="C600">
        <v>50223218</v>
      </c>
      <c r="D600">
        <v>41</v>
      </c>
      <c r="E600">
        <v>0</v>
      </c>
      <c r="F600">
        <v>0</v>
      </c>
      <c r="G600">
        <v>0</v>
      </c>
      <c r="H600">
        <v>41</v>
      </c>
      <c r="I600" s="183" t="s">
        <v>1017</v>
      </c>
      <c r="J600" s="183" t="s">
        <v>12067</v>
      </c>
      <c r="K600">
        <v>0</v>
      </c>
      <c r="L600">
        <v>41</v>
      </c>
    </row>
    <row r="601" spans="1:12">
      <c r="A601" s="183" t="s">
        <v>7036</v>
      </c>
      <c r="B601" s="183" t="s">
        <v>7037</v>
      </c>
      <c r="C601">
        <v>50228209</v>
      </c>
      <c r="D601">
        <v>27</v>
      </c>
      <c r="E601">
        <v>0</v>
      </c>
      <c r="F601">
        <v>0</v>
      </c>
      <c r="G601">
        <v>0</v>
      </c>
      <c r="H601">
        <v>27</v>
      </c>
      <c r="I601" s="183" t="s">
        <v>1017</v>
      </c>
      <c r="J601" s="183" t="s">
        <v>12066</v>
      </c>
      <c r="K601">
        <v>0</v>
      </c>
      <c r="L601">
        <v>27</v>
      </c>
    </row>
    <row r="602" spans="1:12">
      <c r="A602" s="183" t="s">
        <v>7163</v>
      </c>
      <c r="B602" s="183" t="s">
        <v>7164</v>
      </c>
      <c r="C602">
        <v>50232409</v>
      </c>
      <c r="D602">
        <v>29</v>
      </c>
      <c r="E602">
        <v>0</v>
      </c>
      <c r="F602">
        <v>0</v>
      </c>
      <c r="G602">
        <v>0</v>
      </c>
      <c r="H602">
        <v>29</v>
      </c>
      <c r="I602" s="183" t="s">
        <v>1017</v>
      </c>
      <c r="J602" s="183" t="s">
        <v>12052</v>
      </c>
      <c r="K602">
        <v>0</v>
      </c>
      <c r="L602">
        <v>29</v>
      </c>
    </row>
    <row r="603" spans="1:12">
      <c r="A603" s="183" t="s">
        <v>7182</v>
      </c>
      <c r="B603" s="183" t="s">
        <v>7183</v>
      </c>
      <c r="C603">
        <v>50232509</v>
      </c>
      <c r="D603">
        <v>27</v>
      </c>
      <c r="E603">
        <v>0</v>
      </c>
      <c r="F603">
        <v>0</v>
      </c>
      <c r="G603">
        <v>0</v>
      </c>
      <c r="H603">
        <v>27</v>
      </c>
      <c r="I603" s="183" t="s">
        <v>1017</v>
      </c>
      <c r="J603" s="183" t="s">
        <v>12054</v>
      </c>
      <c r="K603">
        <v>0</v>
      </c>
      <c r="L603">
        <v>27</v>
      </c>
    </row>
    <row r="604" spans="1:12">
      <c r="A604" s="183" t="s">
        <v>3012</v>
      </c>
      <c r="B604" s="183" t="s">
        <v>3013</v>
      </c>
      <c r="C604">
        <v>50234218</v>
      </c>
      <c r="D604">
        <v>42</v>
      </c>
      <c r="E604">
        <v>0</v>
      </c>
      <c r="F604">
        <v>0</v>
      </c>
      <c r="G604">
        <v>0</v>
      </c>
      <c r="H604">
        <v>42</v>
      </c>
      <c r="I604" s="183" t="s">
        <v>1017</v>
      </c>
      <c r="J604" s="183" t="s">
        <v>12067</v>
      </c>
      <c r="K604">
        <v>0</v>
      </c>
      <c r="L604">
        <v>42</v>
      </c>
    </row>
    <row r="605" spans="1:12">
      <c r="A605" s="183" t="s">
        <v>3847</v>
      </c>
      <c r="B605" s="183" t="s">
        <v>3848</v>
      </c>
      <c r="C605">
        <v>50236118</v>
      </c>
      <c r="D605">
        <v>39</v>
      </c>
      <c r="E605">
        <v>0</v>
      </c>
      <c r="F605">
        <v>0</v>
      </c>
      <c r="G605">
        <v>0</v>
      </c>
      <c r="H605">
        <v>39</v>
      </c>
      <c r="I605" s="183" t="s">
        <v>1017</v>
      </c>
      <c r="J605" s="183" t="s">
        <v>12061</v>
      </c>
      <c r="K605">
        <v>0</v>
      </c>
      <c r="L605">
        <v>39</v>
      </c>
    </row>
    <row r="606" spans="1:12">
      <c r="A606" s="183" t="s">
        <v>6067</v>
      </c>
      <c r="B606" s="183" t="s">
        <v>6068</v>
      </c>
      <c r="C606">
        <v>50240218</v>
      </c>
      <c r="D606">
        <v>3</v>
      </c>
      <c r="E606">
        <v>0</v>
      </c>
      <c r="F606">
        <v>0</v>
      </c>
      <c r="G606">
        <v>0</v>
      </c>
      <c r="H606">
        <v>3</v>
      </c>
      <c r="I606" s="183" t="s">
        <v>1017</v>
      </c>
      <c r="J606" s="183" t="s">
        <v>12061</v>
      </c>
      <c r="K606">
        <v>0</v>
      </c>
      <c r="L606">
        <v>3</v>
      </c>
    </row>
    <row r="607" spans="1:12">
      <c r="A607" s="183" t="s">
        <v>6069</v>
      </c>
      <c r="B607" s="183" t="s">
        <v>6070</v>
      </c>
      <c r="C607">
        <v>50240318</v>
      </c>
      <c r="D607">
        <v>9</v>
      </c>
      <c r="E607">
        <v>0</v>
      </c>
      <c r="F607">
        <v>0</v>
      </c>
      <c r="G607">
        <v>0</v>
      </c>
      <c r="H607">
        <v>9</v>
      </c>
      <c r="I607" s="183" t="s">
        <v>1017</v>
      </c>
      <c r="J607" s="183" t="s">
        <v>12057</v>
      </c>
      <c r="K607">
        <v>0</v>
      </c>
      <c r="L607">
        <v>9</v>
      </c>
    </row>
    <row r="608" spans="1:12">
      <c r="A608" s="183" t="s">
        <v>3035</v>
      </c>
      <c r="B608" s="183" t="s">
        <v>3036</v>
      </c>
      <c r="C608">
        <v>50240418</v>
      </c>
      <c r="D608">
        <v>29</v>
      </c>
      <c r="E608">
        <v>0</v>
      </c>
      <c r="F608">
        <v>0</v>
      </c>
      <c r="G608">
        <v>0</v>
      </c>
      <c r="H608">
        <v>29</v>
      </c>
      <c r="I608" s="183" t="s">
        <v>1017</v>
      </c>
      <c r="J608" s="183" t="s">
        <v>12054</v>
      </c>
      <c r="K608">
        <v>0</v>
      </c>
      <c r="L608">
        <v>29</v>
      </c>
    </row>
    <row r="609" spans="1:12">
      <c r="A609" s="183" t="s">
        <v>2244</v>
      </c>
      <c r="B609" s="183" t="s">
        <v>2245</v>
      </c>
      <c r="C609">
        <v>50200110</v>
      </c>
      <c r="D609">
        <v>79</v>
      </c>
      <c r="E609">
        <v>0</v>
      </c>
      <c r="F609">
        <v>0</v>
      </c>
      <c r="G609">
        <v>0</v>
      </c>
      <c r="H609">
        <v>79</v>
      </c>
      <c r="I609" s="183" t="s">
        <v>1098</v>
      </c>
      <c r="J609" s="183" t="s">
        <v>12059</v>
      </c>
      <c r="K609">
        <v>0</v>
      </c>
      <c r="L609">
        <v>79</v>
      </c>
    </row>
    <row r="610" spans="1:12">
      <c r="A610" s="183" t="s">
        <v>2622</v>
      </c>
      <c r="B610" s="183" t="s">
        <v>2623</v>
      </c>
      <c r="C610">
        <v>50200116</v>
      </c>
      <c r="D610">
        <v>50</v>
      </c>
      <c r="E610">
        <v>0</v>
      </c>
      <c r="F610">
        <v>0</v>
      </c>
      <c r="G610">
        <v>0</v>
      </c>
      <c r="H610">
        <v>50</v>
      </c>
      <c r="I610" s="183" t="s">
        <v>1098</v>
      </c>
      <c r="J610" s="183" t="s">
        <v>12056</v>
      </c>
      <c r="K610">
        <v>0</v>
      </c>
      <c r="L610">
        <v>50</v>
      </c>
    </row>
    <row r="611" spans="1:12">
      <c r="A611" s="183" t="s">
        <v>8499</v>
      </c>
      <c r="B611" s="183" t="s">
        <v>8500</v>
      </c>
      <c r="C611">
        <v>50200202</v>
      </c>
      <c r="D611">
        <v>49</v>
      </c>
      <c r="E611">
        <v>0</v>
      </c>
      <c r="F611">
        <v>0</v>
      </c>
      <c r="G611">
        <v>0</v>
      </c>
      <c r="H611">
        <v>49</v>
      </c>
      <c r="I611" s="183" t="s">
        <v>1098</v>
      </c>
      <c r="J611" s="183" t="s">
        <v>12058</v>
      </c>
      <c r="K611">
        <v>0</v>
      </c>
      <c r="L611">
        <v>49</v>
      </c>
    </row>
    <row r="612" spans="1:12">
      <c r="A612" s="183" t="s">
        <v>7981</v>
      </c>
      <c r="B612" s="183" t="s">
        <v>7982</v>
      </c>
      <c r="C612">
        <v>50200417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1098</v>
      </c>
      <c r="J612" s="183" t="s">
        <v>12056</v>
      </c>
      <c r="K612">
        <v>0</v>
      </c>
      <c r="L612">
        <v>50</v>
      </c>
    </row>
    <row r="613" spans="1:12">
      <c r="A613" s="183" t="s">
        <v>2081</v>
      </c>
      <c r="B613" s="183" t="s">
        <v>2082</v>
      </c>
      <c r="C613">
        <v>50201217</v>
      </c>
      <c r="D613">
        <v>40</v>
      </c>
      <c r="E613">
        <v>0</v>
      </c>
      <c r="F613">
        <v>0</v>
      </c>
      <c r="G613">
        <v>0</v>
      </c>
      <c r="H613">
        <v>40</v>
      </c>
      <c r="I613" s="183" t="s">
        <v>1098</v>
      </c>
      <c r="J613" s="183" t="s">
        <v>12067</v>
      </c>
      <c r="K613">
        <v>0</v>
      </c>
      <c r="L613">
        <v>40</v>
      </c>
    </row>
    <row r="614" spans="1:12">
      <c r="A614" s="183" t="s">
        <v>2605</v>
      </c>
      <c r="B614" s="183" t="s">
        <v>2606</v>
      </c>
      <c r="C614">
        <v>50201301</v>
      </c>
      <c r="D614">
        <v>25</v>
      </c>
      <c r="E614">
        <v>0</v>
      </c>
      <c r="F614">
        <v>0</v>
      </c>
      <c r="G614">
        <v>0</v>
      </c>
      <c r="H614">
        <v>25</v>
      </c>
      <c r="I614" s="183" t="s">
        <v>1098</v>
      </c>
      <c r="J614" s="183" t="s">
        <v>12054</v>
      </c>
      <c r="K614">
        <v>0</v>
      </c>
      <c r="L614">
        <v>25</v>
      </c>
    </row>
    <row r="615" spans="1:12">
      <c r="A615" s="183" t="s">
        <v>2388</v>
      </c>
      <c r="B615" s="183" t="s">
        <v>2389</v>
      </c>
      <c r="C615">
        <v>50202217</v>
      </c>
      <c r="D615">
        <v>49</v>
      </c>
      <c r="E615">
        <v>0</v>
      </c>
      <c r="F615">
        <v>0</v>
      </c>
      <c r="G615">
        <v>0</v>
      </c>
      <c r="H615">
        <v>49</v>
      </c>
      <c r="I615" s="183" t="s">
        <v>1098</v>
      </c>
      <c r="J615" s="183" t="s">
        <v>12056</v>
      </c>
      <c r="K615">
        <v>0</v>
      </c>
      <c r="L615">
        <v>49</v>
      </c>
    </row>
    <row r="616" spans="1:12">
      <c r="A616" s="183" t="s">
        <v>1754</v>
      </c>
      <c r="B616" s="183" t="s">
        <v>1755</v>
      </c>
      <c r="C616">
        <v>50202302</v>
      </c>
      <c r="D616">
        <v>49</v>
      </c>
      <c r="E616">
        <v>0</v>
      </c>
      <c r="F616">
        <v>0</v>
      </c>
      <c r="G616">
        <v>0</v>
      </c>
      <c r="H616">
        <v>49</v>
      </c>
      <c r="I616" s="183" t="s">
        <v>1098</v>
      </c>
      <c r="J616" s="183" t="s">
        <v>12056</v>
      </c>
      <c r="K616">
        <v>0</v>
      </c>
      <c r="L616">
        <v>49</v>
      </c>
    </row>
    <row r="617" spans="1:12">
      <c r="A617" s="183" t="s">
        <v>8254</v>
      </c>
      <c r="B617" s="183" t="s">
        <v>8255</v>
      </c>
      <c r="C617">
        <v>50202316</v>
      </c>
      <c r="D617">
        <v>50</v>
      </c>
      <c r="E617">
        <v>0</v>
      </c>
      <c r="F617">
        <v>0</v>
      </c>
      <c r="G617">
        <v>0</v>
      </c>
      <c r="H617">
        <v>50</v>
      </c>
      <c r="I617" s="183" t="s">
        <v>1098</v>
      </c>
      <c r="J617" s="183" t="s">
        <v>12059</v>
      </c>
      <c r="K617">
        <v>0</v>
      </c>
      <c r="L617">
        <v>50</v>
      </c>
    </row>
    <row r="618" spans="1:12">
      <c r="A618" s="183" t="s">
        <v>8493</v>
      </c>
      <c r="B618" s="183" t="s">
        <v>8494</v>
      </c>
      <c r="C618">
        <v>50203101</v>
      </c>
      <c r="D618">
        <v>50</v>
      </c>
      <c r="E618">
        <v>0</v>
      </c>
      <c r="F618">
        <v>0</v>
      </c>
      <c r="G618">
        <v>0</v>
      </c>
      <c r="H618">
        <v>50</v>
      </c>
      <c r="I618" s="183" t="s">
        <v>1098</v>
      </c>
      <c r="J618" s="183" t="s">
        <v>12052</v>
      </c>
      <c r="K618">
        <v>0</v>
      </c>
      <c r="L618">
        <v>50</v>
      </c>
    </row>
    <row r="619" spans="1:12">
      <c r="A619" s="183" t="s">
        <v>2629</v>
      </c>
      <c r="B619" s="183" t="s">
        <v>2630</v>
      </c>
      <c r="C619">
        <v>50203108</v>
      </c>
      <c r="D619">
        <v>46</v>
      </c>
      <c r="E619">
        <v>0</v>
      </c>
      <c r="F619">
        <v>0</v>
      </c>
      <c r="G619">
        <v>0</v>
      </c>
      <c r="H619">
        <v>46</v>
      </c>
      <c r="I619" s="183" t="s">
        <v>1098</v>
      </c>
      <c r="J619" s="183" t="s">
        <v>12061</v>
      </c>
      <c r="K619">
        <v>0</v>
      </c>
      <c r="L619">
        <v>46</v>
      </c>
    </row>
    <row r="620" spans="1:12">
      <c r="A620" s="183" t="s">
        <v>2073</v>
      </c>
      <c r="B620" s="183" t="s">
        <v>2074</v>
      </c>
      <c r="C620">
        <v>50203117</v>
      </c>
      <c r="D620">
        <v>47</v>
      </c>
      <c r="E620">
        <v>0</v>
      </c>
      <c r="F620">
        <v>0</v>
      </c>
      <c r="G620">
        <v>0</v>
      </c>
      <c r="H620">
        <v>47</v>
      </c>
      <c r="I620" s="183" t="s">
        <v>1098</v>
      </c>
      <c r="J620" s="183" t="s">
        <v>12055</v>
      </c>
      <c r="K620">
        <v>0</v>
      </c>
      <c r="L620">
        <v>47</v>
      </c>
    </row>
    <row r="621" spans="1:12">
      <c r="A621" s="183" t="s">
        <v>2595</v>
      </c>
      <c r="B621" s="183" t="s">
        <v>2596</v>
      </c>
      <c r="C621">
        <v>50203408</v>
      </c>
      <c r="D621">
        <v>50</v>
      </c>
      <c r="E621">
        <v>0</v>
      </c>
      <c r="F621">
        <v>0</v>
      </c>
      <c r="G621">
        <v>0</v>
      </c>
      <c r="H621">
        <v>50</v>
      </c>
      <c r="I621" s="183" t="s">
        <v>1098</v>
      </c>
      <c r="J621" s="183" t="s">
        <v>12058</v>
      </c>
      <c r="K621">
        <v>0</v>
      </c>
      <c r="L621">
        <v>50</v>
      </c>
    </row>
    <row r="622" spans="1:12">
      <c r="A622" s="183" t="s">
        <v>8174</v>
      </c>
      <c r="B622" s="183" t="s">
        <v>8175</v>
      </c>
      <c r="C622">
        <v>50204101</v>
      </c>
      <c r="D622">
        <v>87</v>
      </c>
      <c r="E622">
        <v>0</v>
      </c>
      <c r="F622">
        <v>0</v>
      </c>
      <c r="G622">
        <v>0</v>
      </c>
      <c r="H622">
        <v>87</v>
      </c>
      <c r="I622" s="183" t="s">
        <v>1098</v>
      </c>
      <c r="J622" s="183" t="s">
        <v>12054</v>
      </c>
      <c r="K622">
        <v>0</v>
      </c>
      <c r="L622">
        <v>87</v>
      </c>
    </row>
    <row r="623" spans="1:12">
      <c r="A623" s="183" t="s">
        <v>2089</v>
      </c>
      <c r="B623" s="183" t="s">
        <v>2090</v>
      </c>
      <c r="C623">
        <v>50204103</v>
      </c>
      <c r="D623">
        <v>49</v>
      </c>
      <c r="E623">
        <v>0</v>
      </c>
      <c r="F623">
        <v>0</v>
      </c>
      <c r="G623">
        <v>0</v>
      </c>
      <c r="H623">
        <v>49</v>
      </c>
      <c r="I623" s="183" t="s">
        <v>1098</v>
      </c>
      <c r="J623" s="183" t="s">
        <v>12058</v>
      </c>
      <c r="K623">
        <v>0</v>
      </c>
      <c r="L623">
        <v>49</v>
      </c>
    </row>
    <row r="624" spans="1:12">
      <c r="A624" s="183" t="s">
        <v>1930</v>
      </c>
      <c r="B624" s="183" t="s">
        <v>1931</v>
      </c>
      <c r="C624">
        <v>50204117</v>
      </c>
      <c r="D624">
        <v>46</v>
      </c>
      <c r="E624">
        <v>0</v>
      </c>
      <c r="F624">
        <v>0</v>
      </c>
      <c r="G624">
        <v>0</v>
      </c>
      <c r="H624">
        <v>46</v>
      </c>
      <c r="I624" s="183" t="s">
        <v>1098</v>
      </c>
      <c r="J624" s="183" t="s">
        <v>12058</v>
      </c>
      <c r="K624">
        <v>0</v>
      </c>
      <c r="L624">
        <v>46</v>
      </c>
    </row>
    <row r="625" spans="1:12">
      <c r="A625" s="183" t="s">
        <v>1591</v>
      </c>
      <c r="B625" s="183" t="s">
        <v>1592</v>
      </c>
      <c r="C625">
        <v>50204210</v>
      </c>
      <c r="D625">
        <v>91</v>
      </c>
      <c r="E625">
        <v>0</v>
      </c>
      <c r="F625">
        <v>0</v>
      </c>
      <c r="G625">
        <v>0</v>
      </c>
      <c r="H625">
        <v>91</v>
      </c>
      <c r="I625" s="183" t="s">
        <v>1098</v>
      </c>
      <c r="J625" s="183" t="s">
        <v>12061</v>
      </c>
      <c r="K625">
        <v>0</v>
      </c>
      <c r="L625">
        <v>91</v>
      </c>
    </row>
    <row r="626" spans="1:12">
      <c r="A626" s="183" t="s">
        <v>2586</v>
      </c>
      <c r="B626" s="183" t="s">
        <v>2587</v>
      </c>
      <c r="C626">
        <v>50204410</v>
      </c>
      <c r="D626">
        <v>50</v>
      </c>
      <c r="E626">
        <v>0</v>
      </c>
      <c r="F626">
        <v>0</v>
      </c>
      <c r="G626">
        <v>0</v>
      </c>
      <c r="H626">
        <v>50</v>
      </c>
      <c r="I626" s="183" t="s">
        <v>1098</v>
      </c>
      <c r="J626" s="183" t="s">
        <v>12057</v>
      </c>
      <c r="K626">
        <v>0</v>
      </c>
      <c r="L626">
        <v>50</v>
      </c>
    </row>
    <row r="627" spans="1:12">
      <c r="A627" s="183" t="s">
        <v>1596</v>
      </c>
      <c r="B627" s="183" t="s">
        <v>1597</v>
      </c>
      <c r="C627">
        <v>50204416</v>
      </c>
      <c r="D627">
        <v>44</v>
      </c>
      <c r="E627">
        <v>0</v>
      </c>
      <c r="F627">
        <v>0</v>
      </c>
      <c r="G627">
        <v>0</v>
      </c>
      <c r="H627">
        <v>44</v>
      </c>
      <c r="I627" s="183" t="s">
        <v>1098</v>
      </c>
      <c r="J627" s="183" t="s">
        <v>12056</v>
      </c>
      <c r="K627">
        <v>0</v>
      </c>
      <c r="L627">
        <v>44</v>
      </c>
    </row>
    <row r="628" spans="1:12">
      <c r="A628" s="183" t="s">
        <v>8280</v>
      </c>
      <c r="B628" s="183" t="s">
        <v>8281</v>
      </c>
      <c r="C628">
        <v>50204517</v>
      </c>
      <c r="D628">
        <v>32</v>
      </c>
      <c r="E628">
        <v>0</v>
      </c>
      <c r="F628">
        <v>0</v>
      </c>
      <c r="G628">
        <v>0</v>
      </c>
      <c r="H628">
        <v>32</v>
      </c>
      <c r="I628" s="183" t="s">
        <v>1098</v>
      </c>
      <c r="J628" s="183" t="s">
        <v>12061</v>
      </c>
      <c r="K628">
        <v>0</v>
      </c>
      <c r="L628">
        <v>32</v>
      </c>
    </row>
    <row r="629" spans="1:12">
      <c r="A629" s="183" t="s">
        <v>6988</v>
      </c>
      <c r="B629" s="183" t="s">
        <v>6989</v>
      </c>
      <c r="C629">
        <v>50205103</v>
      </c>
      <c r="D629">
        <v>35</v>
      </c>
      <c r="E629">
        <v>0</v>
      </c>
      <c r="F629">
        <v>0</v>
      </c>
      <c r="G629">
        <v>0</v>
      </c>
      <c r="H629">
        <v>35</v>
      </c>
      <c r="I629" s="183" t="s">
        <v>1098</v>
      </c>
      <c r="J629" s="183" t="s">
        <v>12058</v>
      </c>
      <c r="K629">
        <v>0</v>
      </c>
      <c r="L629">
        <v>35</v>
      </c>
    </row>
    <row r="630" spans="1:12">
      <c r="A630" s="183" t="s">
        <v>1404</v>
      </c>
      <c r="B630" s="183" t="s">
        <v>1405</v>
      </c>
      <c r="C630">
        <v>50205215</v>
      </c>
      <c r="D630">
        <v>43</v>
      </c>
      <c r="E630">
        <v>0</v>
      </c>
      <c r="F630">
        <v>0</v>
      </c>
      <c r="G630">
        <v>0</v>
      </c>
      <c r="H630">
        <v>43</v>
      </c>
      <c r="I630" s="183" t="s">
        <v>1098</v>
      </c>
      <c r="J630" s="183" t="s">
        <v>12055</v>
      </c>
      <c r="K630">
        <v>0</v>
      </c>
      <c r="L630">
        <v>43</v>
      </c>
    </row>
    <row r="631" spans="1:12">
      <c r="A631" s="183" t="s">
        <v>1943</v>
      </c>
      <c r="B631" s="183" t="s">
        <v>1944</v>
      </c>
      <c r="C631">
        <v>50205216</v>
      </c>
      <c r="D631">
        <v>49</v>
      </c>
      <c r="E631">
        <v>0</v>
      </c>
      <c r="F631">
        <v>0</v>
      </c>
      <c r="G631">
        <v>0</v>
      </c>
      <c r="H631">
        <v>49</v>
      </c>
      <c r="I631" s="183" t="s">
        <v>1098</v>
      </c>
      <c r="J631" s="183" t="s">
        <v>12056</v>
      </c>
      <c r="K631">
        <v>0</v>
      </c>
      <c r="L631">
        <v>49</v>
      </c>
    </row>
    <row r="632" spans="1:12">
      <c r="A632" s="183" t="s">
        <v>8495</v>
      </c>
      <c r="B632" s="183" t="s">
        <v>8496</v>
      </c>
      <c r="C632">
        <v>50206202</v>
      </c>
      <c r="D632">
        <v>49</v>
      </c>
      <c r="E632">
        <v>0</v>
      </c>
      <c r="F632">
        <v>0</v>
      </c>
      <c r="G632">
        <v>0</v>
      </c>
      <c r="H632">
        <v>49</v>
      </c>
      <c r="I632" s="183" t="s">
        <v>1098</v>
      </c>
      <c r="J632" s="183" t="s">
        <v>12059</v>
      </c>
      <c r="K632">
        <v>0</v>
      </c>
      <c r="L632">
        <v>49</v>
      </c>
    </row>
    <row r="633" spans="1:12">
      <c r="A633" s="183" t="s">
        <v>7084</v>
      </c>
      <c r="B633" s="183" t="s">
        <v>7085</v>
      </c>
      <c r="C633">
        <v>50218209</v>
      </c>
      <c r="D633">
        <v>27</v>
      </c>
      <c r="E633">
        <v>0</v>
      </c>
      <c r="F633">
        <v>0</v>
      </c>
      <c r="G633">
        <v>0</v>
      </c>
      <c r="H633">
        <v>27</v>
      </c>
      <c r="I633" s="183" t="s">
        <v>1017</v>
      </c>
      <c r="J633" s="183" t="s">
        <v>12057</v>
      </c>
      <c r="K633">
        <v>0</v>
      </c>
      <c r="L633">
        <v>27</v>
      </c>
    </row>
    <row r="634" spans="1:12">
      <c r="A634" s="183" t="s">
        <v>7143</v>
      </c>
      <c r="B634" s="183" t="s">
        <v>7144</v>
      </c>
      <c r="C634">
        <v>50218509</v>
      </c>
      <c r="D634">
        <v>27</v>
      </c>
      <c r="E634">
        <v>0</v>
      </c>
      <c r="F634">
        <v>0</v>
      </c>
      <c r="G634">
        <v>0</v>
      </c>
      <c r="H634">
        <v>27</v>
      </c>
      <c r="I634" s="183" t="s">
        <v>1017</v>
      </c>
      <c r="J634" s="183" t="s">
        <v>12061</v>
      </c>
      <c r="K634">
        <v>0</v>
      </c>
      <c r="L634">
        <v>27</v>
      </c>
    </row>
    <row r="635" spans="1:12">
      <c r="A635" s="183" t="s">
        <v>5030</v>
      </c>
      <c r="B635" s="183" t="s">
        <v>5031</v>
      </c>
      <c r="C635">
        <v>50219118</v>
      </c>
      <c r="D635">
        <v>44</v>
      </c>
      <c r="E635">
        <v>0</v>
      </c>
      <c r="F635">
        <v>0</v>
      </c>
      <c r="G635">
        <v>0</v>
      </c>
      <c r="H635">
        <v>44</v>
      </c>
      <c r="I635" s="183" t="s">
        <v>1017</v>
      </c>
      <c r="J635" s="183" t="s">
        <v>12050</v>
      </c>
      <c r="K635">
        <v>0</v>
      </c>
      <c r="L635">
        <v>44</v>
      </c>
    </row>
    <row r="636" spans="1:12">
      <c r="A636" s="183" t="s">
        <v>3229</v>
      </c>
      <c r="B636" s="183" t="s">
        <v>3230</v>
      </c>
      <c r="C636">
        <v>50220218</v>
      </c>
      <c r="D636">
        <v>20</v>
      </c>
      <c r="E636">
        <v>0</v>
      </c>
      <c r="F636">
        <v>0</v>
      </c>
      <c r="G636">
        <v>0</v>
      </c>
      <c r="H636">
        <v>20</v>
      </c>
      <c r="I636" s="183" t="s">
        <v>1017</v>
      </c>
      <c r="J636" s="183" t="s">
        <v>12050</v>
      </c>
      <c r="K636">
        <v>0</v>
      </c>
      <c r="L636">
        <v>20</v>
      </c>
    </row>
    <row r="637" spans="1:12">
      <c r="A637" s="183" t="s">
        <v>6890</v>
      </c>
      <c r="B637" s="183" t="s">
        <v>6891</v>
      </c>
      <c r="C637">
        <v>50220318</v>
      </c>
      <c r="D637">
        <v>14</v>
      </c>
      <c r="E637">
        <v>0</v>
      </c>
      <c r="F637">
        <v>0</v>
      </c>
      <c r="G637">
        <v>0</v>
      </c>
      <c r="H637">
        <v>14</v>
      </c>
      <c r="I637" s="183" t="s">
        <v>1017</v>
      </c>
      <c r="J637" s="183" t="s">
        <v>12055</v>
      </c>
      <c r="K637">
        <v>0</v>
      </c>
      <c r="L637">
        <v>14</v>
      </c>
    </row>
    <row r="638" spans="1:12">
      <c r="A638" s="183" t="s">
        <v>6861</v>
      </c>
      <c r="B638" s="183" t="s">
        <v>6862</v>
      </c>
      <c r="C638">
        <v>50222318</v>
      </c>
      <c r="D638">
        <v>7</v>
      </c>
      <c r="E638">
        <v>0</v>
      </c>
      <c r="F638">
        <v>0</v>
      </c>
      <c r="G638">
        <v>0</v>
      </c>
      <c r="H638">
        <v>7</v>
      </c>
      <c r="I638" s="183" t="s">
        <v>1017</v>
      </c>
      <c r="J638" s="183" t="s">
        <v>12052</v>
      </c>
      <c r="K638">
        <v>0</v>
      </c>
      <c r="L638">
        <v>7</v>
      </c>
    </row>
    <row r="639" spans="1:12">
      <c r="A639" s="183" t="s">
        <v>7014</v>
      </c>
      <c r="B639" s="183" t="s">
        <v>7015</v>
      </c>
      <c r="C639">
        <v>50223309</v>
      </c>
      <c r="D639">
        <v>22</v>
      </c>
      <c r="E639">
        <v>0</v>
      </c>
      <c r="F639">
        <v>0</v>
      </c>
      <c r="G639">
        <v>0</v>
      </c>
      <c r="H639">
        <v>22</v>
      </c>
      <c r="I639" s="183" t="s">
        <v>1017</v>
      </c>
      <c r="J639" s="183" t="s">
        <v>12055</v>
      </c>
      <c r="K639">
        <v>0</v>
      </c>
      <c r="L639">
        <v>22</v>
      </c>
    </row>
    <row r="640" spans="1:12">
      <c r="A640" s="183" t="s">
        <v>6061</v>
      </c>
      <c r="B640" s="183" t="s">
        <v>6062</v>
      </c>
      <c r="C640">
        <v>50224218</v>
      </c>
      <c r="D640">
        <v>4</v>
      </c>
      <c r="E640">
        <v>0</v>
      </c>
      <c r="F640">
        <v>0</v>
      </c>
      <c r="G640">
        <v>0</v>
      </c>
      <c r="H640">
        <v>4</v>
      </c>
      <c r="I640" s="183" t="s">
        <v>1017</v>
      </c>
      <c r="J640" s="183" t="s">
        <v>12056</v>
      </c>
      <c r="K640">
        <v>0</v>
      </c>
      <c r="L640">
        <v>4</v>
      </c>
    </row>
    <row r="641" spans="1:12">
      <c r="A641" s="183" t="s">
        <v>6932</v>
      </c>
      <c r="B641" s="183" t="s">
        <v>6933</v>
      </c>
      <c r="C641">
        <v>50226109</v>
      </c>
      <c r="D641">
        <v>110</v>
      </c>
      <c r="E641">
        <v>0</v>
      </c>
      <c r="F641">
        <v>0</v>
      </c>
      <c r="G641">
        <v>0</v>
      </c>
      <c r="H641">
        <v>110</v>
      </c>
      <c r="I641" s="183" t="s">
        <v>1017</v>
      </c>
      <c r="J641" s="183" t="s">
        <v>12054</v>
      </c>
      <c r="K641">
        <v>0</v>
      </c>
      <c r="L641">
        <v>110</v>
      </c>
    </row>
    <row r="642" spans="1:12">
      <c r="A642" s="183" t="s">
        <v>7090</v>
      </c>
      <c r="B642" s="183" t="s">
        <v>7091</v>
      </c>
      <c r="C642">
        <v>50228309</v>
      </c>
      <c r="D642">
        <v>24</v>
      </c>
      <c r="E642">
        <v>0</v>
      </c>
      <c r="F642">
        <v>0</v>
      </c>
      <c r="G642">
        <v>0</v>
      </c>
      <c r="H642">
        <v>24</v>
      </c>
      <c r="I642" s="183" t="s">
        <v>1017</v>
      </c>
      <c r="J642" s="183" t="s">
        <v>12063</v>
      </c>
      <c r="K642">
        <v>0</v>
      </c>
      <c r="L642">
        <v>24</v>
      </c>
    </row>
    <row r="643" spans="1:12">
      <c r="A643" s="183" t="s">
        <v>4998</v>
      </c>
      <c r="B643" s="183" t="s">
        <v>4999</v>
      </c>
      <c r="C643">
        <v>50228418</v>
      </c>
      <c r="D643">
        <v>8</v>
      </c>
      <c r="E643">
        <v>0</v>
      </c>
      <c r="F643">
        <v>0</v>
      </c>
      <c r="G643">
        <v>0</v>
      </c>
      <c r="H643">
        <v>8</v>
      </c>
      <c r="I643" s="183" t="s">
        <v>1017</v>
      </c>
      <c r="J643" s="183" t="s">
        <v>12052</v>
      </c>
      <c r="K643">
        <v>0</v>
      </c>
      <c r="L643">
        <v>8</v>
      </c>
    </row>
    <row r="644" spans="1:12">
      <c r="A644" s="183" t="s">
        <v>6900</v>
      </c>
      <c r="B644" s="183" t="s">
        <v>6901</v>
      </c>
      <c r="C644">
        <v>50234109</v>
      </c>
      <c r="D644">
        <v>27</v>
      </c>
      <c r="E644">
        <v>0</v>
      </c>
      <c r="F644">
        <v>0</v>
      </c>
      <c r="G644">
        <v>0</v>
      </c>
      <c r="H644">
        <v>27</v>
      </c>
      <c r="I644" s="183" t="s">
        <v>1017</v>
      </c>
      <c r="J644" s="183" t="s">
        <v>12054</v>
      </c>
      <c r="K644">
        <v>0</v>
      </c>
      <c r="L644">
        <v>27</v>
      </c>
    </row>
    <row r="645" spans="1:12">
      <c r="A645" s="183" t="s">
        <v>3029</v>
      </c>
      <c r="B645" s="183" t="s">
        <v>3030</v>
      </c>
      <c r="C645">
        <v>50234418</v>
      </c>
      <c r="D645">
        <v>8</v>
      </c>
      <c r="E645">
        <v>0</v>
      </c>
      <c r="F645">
        <v>0</v>
      </c>
      <c r="G645">
        <v>0</v>
      </c>
      <c r="H645">
        <v>8</v>
      </c>
      <c r="I645" s="183" t="s">
        <v>1017</v>
      </c>
      <c r="J645" s="183" t="s">
        <v>12052</v>
      </c>
      <c r="K645">
        <v>0</v>
      </c>
      <c r="L645">
        <v>8</v>
      </c>
    </row>
    <row r="646" spans="1:12">
      <c r="A646" s="183" t="s">
        <v>120</v>
      </c>
      <c r="B646" s="183" t="s">
        <v>121</v>
      </c>
      <c r="C646">
        <v>50234518</v>
      </c>
      <c r="D646">
        <v>51</v>
      </c>
      <c r="E646">
        <v>0</v>
      </c>
      <c r="F646">
        <v>0</v>
      </c>
      <c r="G646">
        <v>0</v>
      </c>
      <c r="H646">
        <v>51</v>
      </c>
      <c r="I646" s="183" t="s">
        <v>1017</v>
      </c>
      <c r="J646" s="183" t="s">
        <v>12056</v>
      </c>
      <c r="K646">
        <v>0</v>
      </c>
      <c r="L646">
        <v>51</v>
      </c>
    </row>
    <row r="647" spans="1:12">
      <c r="A647" s="183" t="s">
        <v>7260</v>
      </c>
      <c r="B647" s="183" t="s">
        <v>7261</v>
      </c>
      <c r="C647">
        <v>50236509</v>
      </c>
      <c r="D647">
        <v>40</v>
      </c>
      <c r="E647">
        <v>0</v>
      </c>
      <c r="F647">
        <v>0</v>
      </c>
      <c r="G647">
        <v>0</v>
      </c>
      <c r="H647">
        <v>40</v>
      </c>
      <c r="I647" s="183" t="s">
        <v>1017</v>
      </c>
      <c r="J647" s="183" t="s">
        <v>12060</v>
      </c>
      <c r="K647">
        <v>0</v>
      </c>
      <c r="L647">
        <v>40</v>
      </c>
    </row>
    <row r="648" spans="1:12">
      <c r="A648" s="183" t="s">
        <v>124</v>
      </c>
      <c r="B648" s="183" t="s">
        <v>125</v>
      </c>
      <c r="C648">
        <v>50238118</v>
      </c>
      <c r="D648">
        <v>62</v>
      </c>
      <c r="E648">
        <v>0</v>
      </c>
      <c r="F648">
        <v>0</v>
      </c>
      <c r="G648">
        <v>0</v>
      </c>
      <c r="H648">
        <v>62</v>
      </c>
      <c r="I648" s="183" t="s">
        <v>1017</v>
      </c>
      <c r="J648" s="183" t="s">
        <v>12060</v>
      </c>
      <c r="K648">
        <v>0</v>
      </c>
      <c r="L648">
        <v>62</v>
      </c>
    </row>
    <row r="649" spans="1:12">
      <c r="A649" s="183" t="s">
        <v>134</v>
      </c>
      <c r="B649" s="183" t="s">
        <v>135</v>
      </c>
      <c r="C649">
        <v>50240118</v>
      </c>
      <c r="D649">
        <v>31</v>
      </c>
      <c r="E649">
        <v>0</v>
      </c>
      <c r="F649">
        <v>0</v>
      </c>
      <c r="G649">
        <v>0</v>
      </c>
      <c r="H649">
        <v>31</v>
      </c>
      <c r="I649" s="183" t="s">
        <v>1017</v>
      </c>
      <c r="J649" s="183" t="s">
        <v>12061</v>
      </c>
      <c r="K649">
        <v>0</v>
      </c>
      <c r="L649">
        <v>31</v>
      </c>
    </row>
    <row r="650" spans="1:12">
      <c r="A650" s="183" t="s">
        <v>136</v>
      </c>
      <c r="B650" s="183" t="s">
        <v>137</v>
      </c>
      <c r="C650">
        <v>50240518</v>
      </c>
      <c r="D650">
        <v>17</v>
      </c>
      <c r="E650">
        <v>0</v>
      </c>
      <c r="F650">
        <v>0</v>
      </c>
      <c r="G650">
        <v>0</v>
      </c>
      <c r="H650">
        <v>17</v>
      </c>
      <c r="I650" s="183" t="s">
        <v>1017</v>
      </c>
      <c r="J650" s="183" t="s">
        <v>12056</v>
      </c>
      <c r="K650">
        <v>0</v>
      </c>
      <c r="L650">
        <v>17</v>
      </c>
    </row>
    <row r="651" spans="1:12">
      <c r="A651" s="183" t="s">
        <v>2001</v>
      </c>
      <c r="B651" s="183" t="s">
        <v>2002</v>
      </c>
      <c r="C651">
        <v>50200108</v>
      </c>
      <c r="D651">
        <v>53</v>
      </c>
      <c r="E651">
        <v>0</v>
      </c>
      <c r="F651">
        <v>0</v>
      </c>
      <c r="G651">
        <v>0</v>
      </c>
      <c r="H651">
        <v>53</v>
      </c>
      <c r="I651" s="183" t="s">
        <v>1098</v>
      </c>
      <c r="J651" s="183" t="s">
        <v>12060</v>
      </c>
      <c r="K651">
        <v>0</v>
      </c>
      <c r="L651">
        <v>53</v>
      </c>
    </row>
    <row r="652" spans="1:12">
      <c r="A652" s="183" t="s">
        <v>8065</v>
      </c>
      <c r="B652" s="183" t="s">
        <v>8066</v>
      </c>
      <c r="C652">
        <v>50200317</v>
      </c>
      <c r="D652">
        <v>37</v>
      </c>
      <c r="E652">
        <v>0</v>
      </c>
      <c r="F652">
        <v>0</v>
      </c>
      <c r="G652">
        <v>0</v>
      </c>
      <c r="H652">
        <v>37</v>
      </c>
      <c r="I652" s="183" t="s">
        <v>1098</v>
      </c>
      <c r="J652" s="183" t="s">
        <v>12052</v>
      </c>
      <c r="K652">
        <v>0</v>
      </c>
      <c r="L652">
        <v>37</v>
      </c>
    </row>
    <row r="653" spans="1:12">
      <c r="A653" s="183" t="s">
        <v>1994</v>
      </c>
      <c r="B653" s="183" t="s">
        <v>1995</v>
      </c>
      <c r="C653">
        <v>50200515</v>
      </c>
      <c r="D653">
        <v>50</v>
      </c>
      <c r="E653">
        <v>0</v>
      </c>
      <c r="F653">
        <v>0</v>
      </c>
      <c r="G653">
        <v>0</v>
      </c>
      <c r="H653">
        <v>50</v>
      </c>
      <c r="I653" s="183" t="s">
        <v>1098</v>
      </c>
      <c r="J653" s="183" t="s">
        <v>12052</v>
      </c>
      <c r="K653">
        <v>0</v>
      </c>
      <c r="L653">
        <v>50</v>
      </c>
    </row>
    <row r="654" spans="1:12">
      <c r="A654" s="183" t="s">
        <v>6902</v>
      </c>
      <c r="B654" s="183" t="s">
        <v>6903</v>
      </c>
      <c r="C654">
        <v>50201101</v>
      </c>
      <c r="D654">
        <v>49</v>
      </c>
      <c r="E654">
        <v>0</v>
      </c>
      <c r="F654">
        <v>0</v>
      </c>
      <c r="G654">
        <v>0</v>
      </c>
      <c r="H654">
        <v>49</v>
      </c>
      <c r="I654" s="183" t="s">
        <v>1098</v>
      </c>
      <c r="J654" s="183" t="s">
        <v>12056</v>
      </c>
      <c r="K654">
        <v>0</v>
      </c>
      <c r="L654">
        <v>49</v>
      </c>
    </row>
    <row r="655" spans="1:12">
      <c r="A655" s="183" t="s">
        <v>1484</v>
      </c>
      <c r="B655" s="183" t="s">
        <v>1485</v>
      </c>
      <c r="C655">
        <v>50201108</v>
      </c>
      <c r="D655">
        <v>22</v>
      </c>
      <c r="E655">
        <v>0</v>
      </c>
      <c r="F655">
        <v>0</v>
      </c>
      <c r="G655">
        <v>0</v>
      </c>
      <c r="H655">
        <v>22</v>
      </c>
      <c r="I655" s="183" t="s">
        <v>1098</v>
      </c>
      <c r="J655" s="183" t="s">
        <v>12058</v>
      </c>
      <c r="K655">
        <v>0</v>
      </c>
      <c r="L655">
        <v>22</v>
      </c>
    </row>
    <row r="656" spans="1:12">
      <c r="A656" s="183" t="s">
        <v>7178</v>
      </c>
      <c r="B656" s="183" t="s">
        <v>7179</v>
      </c>
      <c r="C656">
        <v>50201503</v>
      </c>
      <c r="D656">
        <v>18</v>
      </c>
      <c r="E656">
        <v>0</v>
      </c>
      <c r="F656">
        <v>0</v>
      </c>
      <c r="G656">
        <v>0</v>
      </c>
      <c r="H656">
        <v>18</v>
      </c>
      <c r="I656" s="183" t="s">
        <v>1098</v>
      </c>
      <c r="J656" s="183" t="s">
        <v>12058</v>
      </c>
      <c r="K656">
        <v>0</v>
      </c>
      <c r="L656">
        <v>18</v>
      </c>
    </row>
    <row r="657" spans="1:12">
      <c r="A657" s="183" t="s">
        <v>8236</v>
      </c>
      <c r="B657" s="183" t="s">
        <v>8237</v>
      </c>
      <c r="C657">
        <v>50202101</v>
      </c>
      <c r="D657">
        <v>50</v>
      </c>
      <c r="E657">
        <v>0</v>
      </c>
      <c r="F657">
        <v>0</v>
      </c>
      <c r="G657">
        <v>0</v>
      </c>
      <c r="H657">
        <v>50</v>
      </c>
      <c r="I657" s="183" t="s">
        <v>1098</v>
      </c>
      <c r="J657" s="183" t="s">
        <v>12057</v>
      </c>
      <c r="K657">
        <v>0</v>
      </c>
      <c r="L657">
        <v>50</v>
      </c>
    </row>
    <row r="658" spans="1:12">
      <c r="A658" s="183" t="s">
        <v>8414</v>
      </c>
      <c r="B658" s="183" t="s">
        <v>8415</v>
      </c>
      <c r="C658">
        <v>50202103</v>
      </c>
      <c r="D658">
        <v>50</v>
      </c>
      <c r="E658">
        <v>0</v>
      </c>
      <c r="F658">
        <v>0</v>
      </c>
      <c r="G658">
        <v>0</v>
      </c>
      <c r="H658">
        <v>50</v>
      </c>
      <c r="I658" s="183" t="s">
        <v>1098</v>
      </c>
      <c r="J658" s="183" t="s">
        <v>12066</v>
      </c>
      <c r="K658">
        <v>0</v>
      </c>
      <c r="L658">
        <v>50</v>
      </c>
    </row>
    <row r="659" spans="1:12">
      <c r="A659" s="183" t="s">
        <v>2468</v>
      </c>
      <c r="B659" s="183" t="s">
        <v>2469</v>
      </c>
      <c r="C659">
        <v>50202110</v>
      </c>
      <c r="D659">
        <v>75</v>
      </c>
      <c r="E659">
        <v>0</v>
      </c>
      <c r="F659">
        <v>0</v>
      </c>
      <c r="G659">
        <v>0</v>
      </c>
      <c r="H659">
        <v>75</v>
      </c>
      <c r="I659" s="183" t="s">
        <v>1098</v>
      </c>
      <c r="J659" s="183" t="s">
        <v>12055</v>
      </c>
      <c r="K659">
        <v>0</v>
      </c>
      <c r="L659">
        <v>75</v>
      </c>
    </row>
    <row r="660" spans="1:12">
      <c r="A660" s="183" t="s">
        <v>2004</v>
      </c>
      <c r="B660" s="183" t="s">
        <v>2005</v>
      </c>
      <c r="C660">
        <v>50202117</v>
      </c>
      <c r="D660">
        <v>50</v>
      </c>
      <c r="E660">
        <v>0</v>
      </c>
      <c r="F660">
        <v>0</v>
      </c>
      <c r="G660">
        <v>0</v>
      </c>
      <c r="H660">
        <v>50</v>
      </c>
      <c r="I660" s="183" t="s">
        <v>1098</v>
      </c>
      <c r="J660" s="183" t="s">
        <v>12057</v>
      </c>
      <c r="K660">
        <v>0</v>
      </c>
      <c r="L660">
        <v>50</v>
      </c>
    </row>
    <row r="661" spans="1:12">
      <c r="A661" s="183" t="s">
        <v>1998</v>
      </c>
      <c r="B661" s="183" t="s">
        <v>1999</v>
      </c>
      <c r="C661">
        <v>50202216</v>
      </c>
      <c r="D661">
        <v>50</v>
      </c>
      <c r="E661">
        <v>0</v>
      </c>
      <c r="F661">
        <v>0</v>
      </c>
      <c r="G661">
        <v>0</v>
      </c>
      <c r="H661">
        <v>50</v>
      </c>
      <c r="I661" s="183" t="s">
        <v>1098</v>
      </c>
      <c r="J661" s="183" t="s">
        <v>12067</v>
      </c>
      <c r="K661">
        <v>0</v>
      </c>
      <c r="L661">
        <v>50</v>
      </c>
    </row>
    <row r="662" spans="1:12">
      <c r="A662" s="183" t="s">
        <v>2477</v>
      </c>
      <c r="B662" s="183" t="s">
        <v>2478</v>
      </c>
      <c r="C662">
        <v>50203203</v>
      </c>
      <c r="D662">
        <v>50</v>
      </c>
      <c r="E662">
        <v>0</v>
      </c>
      <c r="F662">
        <v>0</v>
      </c>
      <c r="G662">
        <v>0</v>
      </c>
      <c r="H662">
        <v>50</v>
      </c>
      <c r="I662" s="183" t="s">
        <v>1098</v>
      </c>
      <c r="J662" s="183" t="s">
        <v>12059</v>
      </c>
      <c r="K662">
        <v>0</v>
      </c>
      <c r="L662">
        <v>50</v>
      </c>
    </row>
    <row r="663" spans="1:12">
      <c r="A663" s="183" t="s">
        <v>8234</v>
      </c>
      <c r="B663" s="183" t="s">
        <v>8235</v>
      </c>
      <c r="C663">
        <v>50203316</v>
      </c>
      <c r="D663">
        <v>50</v>
      </c>
      <c r="E663">
        <v>0</v>
      </c>
      <c r="F663">
        <v>0</v>
      </c>
      <c r="G663">
        <v>0</v>
      </c>
      <c r="H663">
        <v>50</v>
      </c>
      <c r="I663" s="183" t="s">
        <v>1098</v>
      </c>
      <c r="J663" s="183" t="s">
        <v>12057</v>
      </c>
      <c r="K663">
        <v>0</v>
      </c>
      <c r="L663">
        <v>50</v>
      </c>
    </row>
    <row r="664" spans="1:12">
      <c r="A664" s="183" t="s">
        <v>8418</v>
      </c>
      <c r="B664" s="183" t="s">
        <v>8419</v>
      </c>
      <c r="C664">
        <v>50203517</v>
      </c>
      <c r="D664">
        <v>54</v>
      </c>
      <c r="E664">
        <v>0</v>
      </c>
      <c r="F664">
        <v>0</v>
      </c>
      <c r="G664">
        <v>0</v>
      </c>
      <c r="H664">
        <v>54</v>
      </c>
      <c r="I664" s="183" t="s">
        <v>1098</v>
      </c>
      <c r="J664" s="183" t="s">
        <v>12057</v>
      </c>
      <c r="K664">
        <v>0</v>
      </c>
      <c r="L664">
        <v>54</v>
      </c>
    </row>
    <row r="665" spans="1:12">
      <c r="A665" s="183" t="s">
        <v>8378</v>
      </c>
      <c r="B665" s="183" t="s">
        <v>8379</v>
      </c>
      <c r="C665">
        <v>50204116</v>
      </c>
      <c r="D665">
        <v>49</v>
      </c>
      <c r="E665">
        <v>0</v>
      </c>
      <c r="F665">
        <v>0</v>
      </c>
      <c r="G665">
        <v>0</v>
      </c>
      <c r="H665">
        <v>49</v>
      </c>
      <c r="I665" s="183" t="s">
        <v>1098</v>
      </c>
      <c r="J665" s="183" t="s">
        <v>12052</v>
      </c>
      <c r="K665">
        <v>0</v>
      </c>
      <c r="L665">
        <v>49</v>
      </c>
    </row>
    <row r="666" spans="1:12">
      <c r="A666" s="183" t="s">
        <v>1829</v>
      </c>
      <c r="B666" s="183" t="s">
        <v>1830</v>
      </c>
      <c r="C666">
        <v>50205108</v>
      </c>
      <c r="D666">
        <v>48</v>
      </c>
      <c r="E666">
        <v>0</v>
      </c>
      <c r="F666">
        <v>0</v>
      </c>
      <c r="G666">
        <v>0</v>
      </c>
      <c r="H666">
        <v>48</v>
      </c>
      <c r="I666" s="183" t="s">
        <v>1098</v>
      </c>
      <c r="J666" s="183" t="s">
        <v>12061</v>
      </c>
      <c r="K666">
        <v>0</v>
      </c>
      <c r="L666">
        <v>48</v>
      </c>
    </row>
    <row r="667" spans="1:12">
      <c r="A667" s="183" t="s">
        <v>2161</v>
      </c>
      <c r="B667" s="183" t="s">
        <v>2162</v>
      </c>
      <c r="C667">
        <v>50205110</v>
      </c>
      <c r="D667">
        <v>48</v>
      </c>
      <c r="E667">
        <v>0</v>
      </c>
      <c r="F667">
        <v>0</v>
      </c>
      <c r="G667">
        <v>0</v>
      </c>
      <c r="H667">
        <v>48</v>
      </c>
      <c r="I667" s="183" t="s">
        <v>1098</v>
      </c>
      <c r="J667" s="183" t="s">
        <v>12061</v>
      </c>
      <c r="K667">
        <v>0</v>
      </c>
      <c r="L667">
        <v>48</v>
      </c>
    </row>
    <row r="668" spans="1:12">
      <c r="A668" s="183" t="s">
        <v>8489</v>
      </c>
      <c r="B668" s="183" t="s">
        <v>8490</v>
      </c>
      <c r="C668">
        <v>50205201</v>
      </c>
      <c r="D668">
        <v>49</v>
      </c>
      <c r="E668">
        <v>0</v>
      </c>
      <c r="F668">
        <v>0</v>
      </c>
      <c r="G668">
        <v>0</v>
      </c>
      <c r="H668">
        <v>49</v>
      </c>
      <c r="I668" s="183" t="s">
        <v>1098</v>
      </c>
      <c r="J668" s="183" t="s">
        <v>12059</v>
      </c>
      <c r="K668">
        <v>0</v>
      </c>
      <c r="L668">
        <v>49</v>
      </c>
    </row>
    <row r="669" spans="1:12">
      <c r="A669" s="183" t="s">
        <v>1652</v>
      </c>
      <c r="B669" s="183" t="s">
        <v>1653</v>
      </c>
      <c r="C669">
        <v>50205301</v>
      </c>
      <c r="D669">
        <v>47</v>
      </c>
      <c r="E669">
        <v>0</v>
      </c>
      <c r="F669">
        <v>0</v>
      </c>
      <c r="G669">
        <v>0</v>
      </c>
      <c r="H669">
        <v>47</v>
      </c>
      <c r="I669" s="183" t="s">
        <v>1098</v>
      </c>
      <c r="J669" s="183" t="s">
        <v>12055</v>
      </c>
      <c r="K669">
        <v>0</v>
      </c>
      <c r="L669">
        <v>47</v>
      </c>
    </row>
    <row r="670" spans="1:12">
      <c r="A670" s="183" t="s">
        <v>7222</v>
      </c>
      <c r="B670" s="183" t="s">
        <v>7223</v>
      </c>
      <c r="C670">
        <v>50205508</v>
      </c>
      <c r="D670">
        <v>19</v>
      </c>
      <c r="E670">
        <v>0</v>
      </c>
      <c r="F670">
        <v>0</v>
      </c>
      <c r="G670">
        <v>0</v>
      </c>
      <c r="H670">
        <v>19</v>
      </c>
      <c r="I670" s="183" t="s">
        <v>1098</v>
      </c>
      <c r="J670" s="183" t="s">
        <v>12063</v>
      </c>
      <c r="K670">
        <v>0</v>
      </c>
      <c r="L670">
        <v>19</v>
      </c>
    </row>
    <row r="671" spans="1:12">
      <c r="A671" s="183" t="s">
        <v>2159</v>
      </c>
      <c r="B671" s="183" t="s">
        <v>2160</v>
      </c>
      <c r="C671">
        <v>50206302</v>
      </c>
      <c r="D671">
        <v>59</v>
      </c>
      <c r="E671">
        <v>0</v>
      </c>
      <c r="F671">
        <v>0</v>
      </c>
      <c r="G671">
        <v>0</v>
      </c>
      <c r="H671">
        <v>59</v>
      </c>
      <c r="I671" s="183" t="s">
        <v>1098</v>
      </c>
      <c r="J671" s="183" t="s">
        <v>12055</v>
      </c>
      <c r="K671">
        <v>0</v>
      </c>
      <c r="L671">
        <v>59</v>
      </c>
    </row>
    <row r="672" spans="1:12">
      <c r="A672" s="183" t="s">
        <v>8902</v>
      </c>
      <c r="B672" s="183" t="s">
        <v>8903</v>
      </c>
      <c r="C672">
        <v>50206310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1098</v>
      </c>
      <c r="J672" s="183" t="s">
        <v>12060</v>
      </c>
      <c r="K672">
        <v>0</v>
      </c>
      <c r="L672">
        <v>50</v>
      </c>
    </row>
    <row r="673" spans="1:12">
      <c r="A673" s="183" t="s">
        <v>8346</v>
      </c>
      <c r="B673" s="183" t="s">
        <v>8347</v>
      </c>
      <c r="C673">
        <v>50206316</v>
      </c>
      <c r="D673">
        <v>49</v>
      </c>
      <c r="E673">
        <v>0</v>
      </c>
      <c r="F673">
        <v>0</v>
      </c>
      <c r="G673">
        <v>0</v>
      </c>
      <c r="H673">
        <v>49</v>
      </c>
      <c r="I673" s="183" t="s">
        <v>1098</v>
      </c>
      <c r="J673" s="183" t="s">
        <v>12057</v>
      </c>
      <c r="K673">
        <v>0</v>
      </c>
      <c r="L673">
        <v>49</v>
      </c>
    </row>
    <row r="674" spans="1:12">
      <c r="A674" s="183" t="s">
        <v>8316</v>
      </c>
      <c r="B674" s="183" t="s">
        <v>8317</v>
      </c>
      <c r="C674">
        <v>50206517</v>
      </c>
      <c r="D674">
        <v>49</v>
      </c>
      <c r="E674">
        <v>0</v>
      </c>
      <c r="F674">
        <v>0</v>
      </c>
      <c r="G674">
        <v>0</v>
      </c>
      <c r="H674">
        <v>49</v>
      </c>
      <c r="I674" s="183" t="s">
        <v>1098</v>
      </c>
      <c r="J674" s="183" t="s">
        <v>12054</v>
      </c>
      <c r="K674">
        <v>0</v>
      </c>
      <c r="L674">
        <v>49</v>
      </c>
    </row>
    <row r="675" spans="1:12">
      <c r="A675" s="183" t="s">
        <v>2166</v>
      </c>
      <c r="B675" s="183" t="s">
        <v>2167</v>
      </c>
      <c r="C675">
        <v>50207102</v>
      </c>
      <c r="D675">
        <v>45</v>
      </c>
      <c r="E675">
        <v>0</v>
      </c>
      <c r="F675">
        <v>0</v>
      </c>
      <c r="G675">
        <v>0</v>
      </c>
      <c r="H675">
        <v>45</v>
      </c>
      <c r="I675" s="183" t="s">
        <v>1098</v>
      </c>
      <c r="J675" s="183" t="s">
        <v>12052</v>
      </c>
      <c r="K675">
        <v>0</v>
      </c>
      <c r="L675">
        <v>45</v>
      </c>
    </row>
    <row r="676" spans="1:12">
      <c r="A676" s="183" t="s">
        <v>8416</v>
      </c>
      <c r="B676" s="183" t="s">
        <v>8417</v>
      </c>
      <c r="C676">
        <v>50207202</v>
      </c>
      <c r="D676">
        <v>49</v>
      </c>
      <c r="E676">
        <v>0</v>
      </c>
      <c r="F676">
        <v>0</v>
      </c>
      <c r="G676">
        <v>0</v>
      </c>
      <c r="H676">
        <v>49</v>
      </c>
      <c r="I676" s="183" t="s">
        <v>1098</v>
      </c>
      <c r="J676" s="183" t="s">
        <v>12058</v>
      </c>
      <c r="K676">
        <v>0</v>
      </c>
      <c r="L676">
        <v>49</v>
      </c>
    </row>
    <row r="677" spans="1:12">
      <c r="A677" s="183" t="s">
        <v>6043</v>
      </c>
      <c r="B677" s="183" t="s">
        <v>6044</v>
      </c>
      <c r="C677">
        <v>50217118</v>
      </c>
      <c r="D677">
        <v>6</v>
      </c>
      <c r="E677">
        <v>0</v>
      </c>
      <c r="F677">
        <v>0</v>
      </c>
      <c r="G677">
        <v>0</v>
      </c>
      <c r="H677">
        <v>6</v>
      </c>
      <c r="I677" s="183" t="s">
        <v>1017</v>
      </c>
      <c r="J677" s="183" t="s">
        <v>12050</v>
      </c>
      <c r="K677">
        <v>0</v>
      </c>
      <c r="L677">
        <v>6</v>
      </c>
    </row>
    <row r="678" spans="1:12">
      <c r="A678" s="183" t="s">
        <v>7130</v>
      </c>
      <c r="B678" s="183" t="s">
        <v>7131</v>
      </c>
      <c r="C678">
        <v>50217209</v>
      </c>
      <c r="D678">
        <v>27</v>
      </c>
      <c r="E678">
        <v>0</v>
      </c>
      <c r="F678">
        <v>0</v>
      </c>
      <c r="G678">
        <v>0</v>
      </c>
      <c r="H678">
        <v>27</v>
      </c>
      <c r="I678" s="183" t="s">
        <v>1017</v>
      </c>
      <c r="J678" s="183" t="s">
        <v>12056</v>
      </c>
      <c r="K678">
        <v>0</v>
      </c>
      <c r="L678">
        <v>27</v>
      </c>
    </row>
    <row r="679" spans="1:12">
      <c r="A679" s="183" t="s">
        <v>7246</v>
      </c>
      <c r="B679" s="183" t="s">
        <v>7247</v>
      </c>
      <c r="C679">
        <v>50217409</v>
      </c>
      <c r="D679">
        <v>18</v>
      </c>
      <c r="E679">
        <v>0</v>
      </c>
      <c r="F679">
        <v>0</v>
      </c>
      <c r="G679">
        <v>0</v>
      </c>
      <c r="H679">
        <v>18</v>
      </c>
      <c r="I679" s="183" t="s">
        <v>1017</v>
      </c>
      <c r="J679" s="183" t="s">
        <v>12060</v>
      </c>
      <c r="K679">
        <v>0</v>
      </c>
      <c r="L679">
        <v>18</v>
      </c>
    </row>
    <row r="680" spans="1:12">
      <c r="A680" s="183" t="s">
        <v>4996</v>
      </c>
      <c r="B680" s="183" t="s">
        <v>4997</v>
      </c>
      <c r="C680">
        <v>50218418</v>
      </c>
      <c r="D680">
        <v>14</v>
      </c>
      <c r="E680">
        <v>0</v>
      </c>
      <c r="F680">
        <v>0</v>
      </c>
      <c r="G680">
        <v>0</v>
      </c>
      <c r="H680">
        <v>14</v>
      </c>
      <c r="I680" s="183" t="s">
        <v>1017</v>
      </c>
      <c r="J680" s="183" t="s">
        <v>12057</v>
      </c>
      <c r="K680">
        <v>0</v>
      </c>
      <c r="L680">
        <v>14</v>
      </c>
    </row>
    <row r="681" spans="1:12">
      <c r="A681" s="183" t="s">
        <v>5032</v>
      </c>
      <c r="B681" s="183" t="s">
        <v>5033</v>
      </c>
      <c r="C681">
        <v>50219218</v>
      </c>
      <c r="D681">
        <v>10</v>
      </c>
      <c r="E681">
        <v>0</v>
      </c>
      <c r="F681">
        <v>0</v>
      </c>
      <c r="G681">
        <v>0</v>
      </c>
      <c r="H681">
        <v>10</v>
      </c>
      <c r="I681" s="183" t="s">
        <v>1017</v>
      </c>
      <c r="J681" s="183" t="s">
        <v>12052</v>
      </c>
      <c r="K681">
        <v>0</v>
      </c>
      <c r="L681">
        <v>10</v>
      </c>
    </row>
    <row r="682" spans="1:12">
      <c r="A682" s="183" t="s">
        <v>7006</v>
      </c>
      <c r="B682" s="183" t="s">
        <v>7007</v>
      </c>
      <c r="C682">
        <v>50221209</v>
      </c>
      <c r="D682">
        <v>26</v>
      </c>
      <c r="E682">
        <v>0</v>
      </c>
      <c r="F682">
        <v>0</v>
      </c>
      <c r="G682">
        <v>0</v>
      </c>
      <c r="H682">
        <v>26</v>
      </c>
      <c r="I682" s="183" t="s">
        <v>1017</v>
      </c>
      <c r="J682" s="183" t="s">
        <v>12055</v>
      </c>
      <c r="K682">
        <v>0</v>
      </c>
      <c r="L682">
        <v>26</v>
      </c>
    </row>
    <row r="683" spans="1:12">
      <c r="A683" s="183" t="s">
        <v>6045</v>
      </c>
      <c r="B683" s="183" t="s">
        <v>6046</v>
      </c>
      <c r="C683">
        <v>50221218</v>
      </c>
      <c r="D683">
        <v>47</v>
      </c>
      <c r="E683">
        <v>0</v>
      </c>
      <c r="F683">
        <v>0</v>
      </c>
      <c r="G683">
        <v>0</v>
      </c>
      <c r="H683">
        <v>47</v>
      </c>
      <c r="I683" s="183" t="s">
        <v>1017</v>
      </c>
      <c r="J683" s="183" t="s">
        <v>12050</v>
      </c>
      <c r="K683">
        <v>0</v>
      </c>
      <c r="L683">
        <v>47</v>
      </c>
    </row>
    <row r="684" spans="1:12">
      <c r="A684" s="183" t="s">
        <v>7276</v>
      </c>
      <c r="B684" s="183" t="s">
        <v>7277</v>
      </c>
      <c r="C684">
        <v>50221409</v>
      </c>
      <c r="D684">
        <v>29</v>
      </c>
      <c r="E684">
        <v>0</v>
      </c>
      <c r="F684">
        <v>0</v>
      </c>
      <c r="G684">
        <v>0</v>
      </c>
      <c r="H684">
        <v>29</v>
      </c>
      <c r="I684" s="183" t="s">
        <v>1017</v>
      </c>
      <c r="J684" s="183" t="s">
        <v>12061</v>
      </c>
      <c r="K684">
        <v>0</v>
      </c>
      <c r="L684">
        <v>29</v>
      </c>
    </row>
    <row r="685" spans="1:12">
      <c r="A685" s="183" t="s">
        <v>3064</v>
      </c>
      <c r="B685" s="183" t="s">
        <v>3065</v>
      </c>
      <c r="C685">
        <v>50221518</v>
      </c>
      <c r="D685">
        <v>37</v>
      </c>
      <c r="E685">
        <v>0</v>
      </c>
      <c r="F685">
        <v>0</v>
      </c>
      <c r="G685">
        <v>0</v>
      </c>
      <c r="H685">
        <v>37</v>
      </c>
      <c r="I685" s="183" t="s">
        <v>1017</v>
      </c>
      <c r="J685" s="183" t="s">
        <v>12058</v>
      </c>
      <c r="K685">
        <v>0</v>
      </c>
      <c r="L685">
        <v>37</v>
      </c>
    </row>
    <row r="686" spans="1:12">
      <c r="A686" s="183" t="s">
        <v>7244</v>
      </c>
      <c r="B686" s="183" t="s">
        <v>7245</v>
      </c>
      <c r="C686">
        <v>50223409</v>
      </c>
      <c r="D686">
        <v>22</v>
      </c>
      <c r="E686">
        <v>0</v>
      </c>
      <c r="F686">
        <v>0</v>
      </c>
      <c r="G686">
        <v>0</v>
      </c>
      <c r="H686">
        <v>22</v>
      </c>
      <c r="I686" s="183" t="s">
        <v>1017</v>
      </c>
      <c r="J686" s="183" t="s">
        <v>12050</v>
      </c>
      <c r="K686">
        <v>0</v>
      </c>
      <c r="L686">
        <v>22</v>
      </c>
    </row>
    <row r="687" spans="1:12">
      <c r="A687" s="183" t="s">
        <v>3062</v>
      </c>
      <c r="B687" s="183" t="s">
        <v>3063</v>
      </c>
      <c r="C687">
        <v>50223518</v>
      </c>
      <c r="D687">
        <v>59</v>
      </c>
      <c r="E687">
        <v>0</v>
      </c>
      <c r="F687">
        <v>0</v>
      </c>
      <c r="G687">
        <v>0</v>
      </c>
      <c r="H687">
        <v>59</v>
      </c>
      <c r="I687" s="183" t="s">
        <v>1017</v>
      </c>
      <c r="J687" s="183" t="s">
        <v>12057</v>
      </c>
      <c r="K687">
        <v>0</v>
      </c>
      <c r="L687">
        <v>59</v>
      </c>
    </row>
    <row r="688" spans="1:12">
      <c r="A688" s="183" t="s">
        <v>7044</v>
      </c>
      <c r="B688" s="183" t="s">
        <v>7045</v>
      </c>
      <c r="C688">
        <v>50224209</v>
      </c>
      <c r="D688">
        <v>40</v>
      </c>
      <c r="E688">
        <v>0</v>
      </c>
      <c r="F688">
        <v>0</v>
      </c>
      <c r="G688">
        <v>0</v>
      </c>
      <c r="H688">
        <v>40</v>
      </c>
      <c r="I688" s="183" t="s">
        <v>1017</v>
      </c>
      <c r="J688" s="183" t="s">
        <v>12060</v>
      </c>
      <c r="K688">
        <v>0</v>
      </c>
      <c r="L688">
        <v>40</v>
      </c>
    </row>
    <row r="689" spans="1:12">
      <c r="A689" s="183" t="s">
        <v>3002</v>
      </c>
      <c r="B689" s="183" t="s">
        <v>3003</v>
      </c>
      <c r="C689">
        <v>50226118</v>
      </c>
      <c r="D689">
        <v>8</v>
      </c>
      <c r="E689">
        <v>0</v>
      </c>
      <c r="F689">
        <v>0</v>
      </c>
      <c r="G689">
        <v>0</v>
      </c>
      <c r="H689">
        <v>8</v>
      </c>
      <c r="I689" s="183" t="s">
        <v>1017</v>
      </c>
      <c r="J689" s="183" t="s">
        <v>12057</v>
      </c>
      <c r="K689">
        <v>0</v>
      </c>
      <c r="L689">
        <v>8</v>
      </c>
    </row>
    <row r="690" spans="1:12">
      <c r="A690" s="183" t="s">
        <v>7213</v>
      </c>
      <c r="B690" s="183" t="s">
        <v>7214</v>
      </c>
      <c r="C690">
        <v>50230409</v>
      </c>
      <c r="D690">
        <v>26</v>
      </c>
      <c r="E690">
        <v>0</v>
      </c>
      <c r="F690">
        <v>0</v>
      </c>
      <c r="G690">
        <v>0</v>
      </c>
      <c r="H690">
        <v>26</v>
      </c>
      <c r="I690" s="183" t="s">
        <v>1017</v>
      </c>
      <c r="J690" s="183" t="s">
        <v>12059</v>
      </c>
      <c r="K690">
        <v>0</v>
      </c>
      <c r="L690">
        <v>26</v>
      </c>
    </row>
    <row r="691" spans="1:12">
      <c r="A691" s="183" t="s">
        <v>3020</v>
      </c>
      <c r="B691" s="183" t="s">
        <v>3021</v>
      </c>
      <c r="C691">
        <v>50230418</v>
      </c>
      <c r="D691">
        <v>18</v>
      </c>
      <c r="E691">
        <v>0</v>
      </c>
      <c r="F691">
        <v>0</v>
      </c>
      <c r="G691">
        <v>0</v>
      </c>
      <c r="H691">
        <v>18</v>
      </c>
      <c r="I691" s="183" t="s">
        <v>1017</v>
      </c>
      <c r="J691" s="183" t="s">
        <v>12050</v>
      </c>
      <c r="K691">
        <v>0</v>
      </c>
      <c r="L691">
        <v>18</v>
      </c>
    </row>
    <row r="692" spans="1:12">
      <c r="A692" s="183" t="s">
        <v>6047</v>
      </c>
      <c r="B692" s="183" t="s">
        <v>6048</v>
      </c>
      <c r="C692">
        <v>50236318</v>
      </c>
      <c r="D692">
        <v>40</v>
      </c>
      <c r="E692">
        <v>0</v>
      </c>
      <c r="F692">
        <v>0</v>
      </c>
      <c r="G692">
        <v>0</v>
      </c>
      <c r="H692">
        <v>40</v>
      </c>
      <c r="I692" s="183" t="s">
        <v>1017</v>
      </c>
      <c r="J692" s="183" t="s">
        <v>12056</v>
      </c>
      <c r="K692">
        <v>0</v>
      </c>
      <c r="L692">
        <v>40</v>
      </c>
    </row>
    <row r="693" spans="1:12">
      <c r="A693" s="183" t="s">
        <v>3024</v>
      </c>
      <c r="B693" s="183" t="s">
        <v>3025</v>
      </c>
      <c r="C693">
        <v>50236418</v>
      </c>
      <c r="D693">
        <v>10</v>
      </c>
      <c r="E693">
        <v>0</v>
      </c>
      <c r="F693">
        <v>0</v>
      </c>
      <c r="G693">
        <v>0</v>
      </c>
      <c r="H693">
        <v>10</v>
      </c>
      <c r="I693" s="183" t="s">
        <v>1017</v>
      </c>
      <c r="J693" s="183" t="s">
        <v>12052</v>
      </c>
      <c r="K693">
        <v>0</v>
      </c>
      <c r="L693">
        <v>10</v>
      </c>
    </row>
    <row r="694" spans="1:12">
      <c r="A694" s="183" t="s">
        <v>128</v>
      </c>
      <c r="B694" s="183" t="s">
        <v>129</v>
      </c>
      <c r="C694">
        <v>50238318</v>
      </c>
      <c r="D694">
        <v>48</v>
      </c>
      <c r="E694">
        <v>0</v>
      </c>
      <c r="F694">
        <v>0</v>
      </c>
      <c r="G694">
        <v>0</v>
      </c>
      <c r="H694">
        <v>48</v>
      </c>
      <c r="I694" s="183" t="s">
        <v>1017</v>
      </c>
      <c r="J694" s="183" t="s">
        <v>12060</v>
      </c>
      <c r="K694">
        <v>0</v>
      </c>
      <c r="L694">
        <v>48</v>
      </c>
    </row>
    <row r="695" spans="1:12">
      <c r="A695" s="183" t="s">
        <v>7193</v>
      </c>
      <c r="B695" s="183" t="s">
        <v>7194</v>
      </c>
      <c r="C695">
        <v>50240409</v>
      </c>
      <c r="D695">
        <v>13</v>
      </c>
      <c r="E695">
        <v>0</v>
      </c>
      <c r="F695">
        <v>0</v>
      </c>
      <c r="G695">
        <v>0</v>
      </c>
      <c r="H695">
        <v>13</v>
      </c>
      <c r="I695" s="183" t="s">
        <v>1017</v>
      </c>
      <c r="J695" s="183" t="s">
        <v>12055</v>
      </c>
      <c r="K695">
        <v>0</v>
      </c>
      <c r="L695">
        <v>13</v>
      </c>
    </row>
    <row r="696" spans="1:12">
      <c r="A696" s="183" t="s">
        <v>7217</v>
      </c>
      <c r="B696" s="183" t="s">
        <v>7218</v>
      </c>
      <c r="C696">
        <v>50240509</v>
      </c>
      <c r="D696">
        <v>18</v>
      </c>
      <c r="E696">
        <v>0</v>
      </c>
      <c r="F696">
        <v>0</v>
      </c>
      <c r="G696">
        <v>0</v>
      </c>
      <c r="H696">
        <v>18</v>
      </c>
      <c r="I696" s="183" t="s">
        <v>1017</v>
      </c>
      <c r="J696" s="183" t="s">
        <v>12057</v>
      </c>
      <c r="K696">
        <v>0</v>
      </c>
      <c r="L696">
        <v>18</v>
      </c>
    </row>
    <row r="697" spans="1:12">
      <c r="A697" s="183" t="s">
        <v>6972</v>
      </c>
      <c r="B697" s="183" t="s">
        <v>6973</v>
      </c>
      <c r="C697">
        <v>50200102</v>
      </c>
      <c r="D697">
        <v>38</v>
      </c>
      <c r="E697">
        <v>0</v>
      </c>
      <c r="F697">
        <v>0</v>
      </c>
      <c r="G697">
        <v>0</v>
      </c>
      <c r="H697">
        <v>38</v>
      </c>
      <c r="I697" s="183" t="s">
        <v>1098</v>
      </c>
      <c r="J697" s="183" t="s">
        <v>12056</v>
      </c>
      <c r="K697">
        <v>0</v>
      </c>
      <c r="L697">
        <v>38</v>
      </c>
    </row>
    <row r="698" spans="1:12">
      <c r="A698" s="183" t="s">
        <v>1531</v>
      </c>
      <c r="B698" s="183" t="s">
        <v>1532</v>
      </c>
      <c r="C698">
        <v>50200115</v>
      </c>
      <c r="D698">
        <v>58</v>
      </c>
      <c r="E698">
        <v>0</v>
      </c>
      <c r="F698">
        <v>0</v>
      </c>
      <c r="G698">
        <v>0</v>
      </c>
      <c r="H698">
        <v>58</v>
      </c>
      <c r="I698" s="183" t="s">
        <v>1098</v>
      </c>
      <c r="J698" s="183" t="s">
        <v>12057</v>
      </c>
      <c r="K698">
        <v>0</v>
      </c>
      <c r="L698">
        <v>58</v>
      </c>
    </row>
    <row r="699" spans="1:12">
      <c r="A699" s="183" t="s">
        <v>1714</v>
      </c>
      <c r="B699" s="183" t="s">
        <v>1715</v>
      </c>
      <c r="C699">
        <v>50200402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1098</v>
      </c>
      <c r="J699" s="183" t="s">
        <v>12056</v>
      </c>
      <c r="K699">
        <v>0</v>
      </c>
      <c r="L699">
        <v>50</v>
      </c>
    </row>
    <row r="700" spans="1:12">
      <c r="A700" s="183" t="s">
        <v>1895</v>
      </c>
      <c r="B700" s="183" t="s">
        <v>1896</v>
      </c>
      <c r="C700">
        <v>50200415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12054</v>
      </c>
      <c r="K700">
        <v>0</v>
      </c>
      <c r="L700">
        <v>50</v>
      </c>
    </row>
    <row r="701" spans="1:12">
      <c r="A701" s="183" t="s">
        <v>2200</v>
      </c>
      <c r="B701" s="183" t="s">
        <v>2201</v>
      </c>
      <c r="C701">
        <v>50201302</v>
      </c>
      <c r="D701">
        <v>50</v>
      </c>
      <c r="E701">
        <v>0</v>
      </c>
      <c r="F701">
        <v>0</v>
      </c>
      <c r="G701">
        <v>0</v>
      </c>
      <c r="H701">
        <v>50</v>
      </c>
      <c r="I701" s="183" t="s">
        <v>1098</v>
      </c>
      <c r="J701" s="183" t="s">
        <v>12057</v>
      </c>
      <c r="K701">
        <v>0</v>
      </c>
      <c r="L701">
        <v>50</v>
      </c>
    </row>
    <row r="702" spans="1:12">
      <c r="A702" s="183" t="s">
        <v>8248</v>
      </c>
      <c r="B702" s="183" t="s">
        <v>8249</v>
      </c>
      <c r="C702">
        <v>50202517</v>
      </c>
      <c r="D702">
        <v>47</v>
      </c>
      <c r="E702">
        <v>0</v>
      </c>
      <c r="F702">
        <v>0</v>
      </c>
      <c r="G702">
        <v>0</v>
      </c>
      <c r="H702">
        <v>47</v>
      </c>
      <c r="I702" s="183" t="s">
        <v>1098</v>
      </c>
      <c r="J702" s="183" t="s">
        <v>12060</v>
      </c>
      <c r="K702">
        <v>0</v>
      </c>
      <c r="L702">
        <v>47</v>
      </c>
    </row>
    <row r="703" spans="1:12">
      <c r="A703" s="183" t="s">
        <v>2504</v>
      </c>
      <c r="B703" s="183" t="s">
        <v>2505</v>
      </c>
      <c r="C703">
        <v>50203116</v>
      </c>
      <c r="D703">
        <v>19</v>
      </c>
      <c r="E703">
        <v>0</v>
      </c>
      <c r="F703">
        <v>0</v>
      </c>
      <c r="G703">
        <v>0</v>
      </c>
      <c r="H703">
        <v>19</v>
      </c>
      <c r="I703" s="183" t="s">
        <v>1098</v>
      </c>
      <c r="J703" s="183" t="s">
        <v>12061</v>
      </c>
      <c r="K703">
        <v>0</v>
      </c>
      <c r="L703">
        <v>19</v>
      </c>
    </row>
    <row r="704" spans="1:12">
      <c r="A704" s="183" t="s">
        <v>2036</v>
      </c>
      <c r="B704" s="183" t="s">
        <v>2037</v>
      </c>
      <c r="C704">
        <v>50203402</v>
      </c>
      <c r="D704">
        <v>55</v>
      </c>
      <c r="E704">
        <v>0</v>
      </c>
      <c r="F704">
        <v>0</v>
      </c>
      <c r="G704">
        <v>0</v>
      </c>
      <c r="H704">
        <v>55</v>
      </c>
      <c r="I704" s="183" t="s">
        <v>1098</v>
      </c>
      <c r="J704" s="183" t="s">
        <v>12058</v>
      </c>
      <c r="K704">
        <v>0</v>
      </c>
      <c r="L704">
        <v>55</v>
      </c>
    </row>
    <row r="705" spans="1:12">
      <c r="A705" s="183" t="s">
        <v>2049</v>
      </c>
      <c r="B705" s="183" t="s">
        <v>2050</v>
      </c>
      <c r="C705">
        <v>50204202</v>
      </c>
      <c r="D705">
        <v>50</v>
      </c>
      <c r="E705">
        <v>0</v>
      </c>
      <c r="F705">
        <v>0</v>
      </c>
      <c r="G705">
        <v>0</v>
      </c>
      <c r="H705">
        <v>50</v>
      </c>
      <c r="I705" s="183" t="s">
        <v>1098</v>
      </c>
      <c r="J705" s="183" t="s">
        <v>12057</v>
      </c>
      <c r="K705">
        <v>0</v>
      </c>
      <c r="L705">
        <v>50</v>
      </c>
    </row>
    <row r="706" spans="1:12">
      <c r="A706" s="183" t="s">
        <v>7100</v>
      </c>
      <c r="B706" s="183" t="s">
        <v>7101</v>
      </c>
      <c r="C706">
        <v>50204208</v>
      </c>
      <c r="D706">
        <v>16</v>
      </c>
      <c r="E706">
        <v>0</v>
      </c>
      <c r="F706">
        <v>0</v>
      </c>
      <c r="G706">
        <v>0</v>
      </c>
      <c r="H706">
        <v>16</v>
      </c>
      <c r="I706" s="183" t="s">
        <v>1098</v>
      </c>
      <c r="J706" s="183" t="s">
        <v>12056</v>
      </c>
      <c r="K706">
        <v>0</v>
      </c>
      <c r="L706">
        <v>16</v>
      </c>
    </row>
    <row r="707" spans="1:12">
      <c r="A707" s="183" t="s">
        <v>2336</v>
      </c>
      <c r="B707" s="183" t="s">
        <v>2337</v>
      </c>
      <c r="C707">
        <v>50204215</v>
      </c>
      <c r="D707">
        <v>49</v>
      </c>
      <c r="E707">
        <v>0</v>
      </c>
      <c r="F707">
        <v>0</v>
      </c>
      <c r="G707">
        <v>0</v>
      </c>
      <c r="H707">
        <v>49</v>
      </c>
      <c r="I707" s="183" t="s">
        <v>1098</v>
      </c>
      <c r="J707" s="183" t="s">
        <v>12052</v>
      </c>
      <c r="K707">
        <v>0</v>
      </c>
      <c r="L707">
        <v>49</v>
      </c>
    </row>
    <row r="708" spans="1:12">
      <c r="A708" s="183" t="s">
        <v>2350</v>
      </c>
      <c r="B708" s="183" t="s">
        <v>2351</v>
      </c>
      <c r="C708">
        <v>50204317</v>
      </c>
      <c r="D708">
        <v>50</v>
      </c>
      <c r="E708">
        <v>0</v>
      </c>
      <c r="F708">
        <v>0</v>
      </c>
      <c r="G708">
        <v>0</v>
      </c>
      <c r="H708">
        <v>50</v>
      </c>
      <c r="I708" s="183" t="s">
        <v>1098</v>
      </c>
      <c r="J708" s="183" t="s">
        <v>12052</v>
      </c>
      <c r="K708">
        <v>0</v>
      </c>
      <c r="L708">
        <v>50</v>
      </c>
    </row>
    <row r="709" spans="1:12">
      <c r="A709" s="183" t="s">
        <v>7189</v>
      </c>
      <c r="B709" s="183" t="s">
        <v>7190</v>
      </c>
      <c r="C709">
        <v>50204503</v>
      </c>
      <c r="D709">
        <v>19</v>
      </c>
      <c r="E709">
        <v>0</v>
      </c>
      <c r="F709">
        <v>0</v>
      </c>
      <c r="G709">
        <v>0</v>
      </c>
      <c r="H709">
        <v>19</v>
      </c>
      <c r="I709" s="183" t="s">
        <v>1098</v>
      </c>
      <c r="J709" s="183" t="s">
        <v>12056</v>
      </c>
      <c r="K709">
        <v>0</v>
      </c>
      <c r="L709">
        <v>19</v>
      </c>
    </row>
    <row r="710" spans="1:12">
      <c r="A710" s="183" t="s">
        <v>6954</v>
      </c>
      <c r="B710" s="183" t="s">
        <v>6955</v>
      </c>
      <c r="C710">
        <v>50205102</v>
      </c>
      <c r="D710">
        <v>48</v>
      </c>
      <c r="E710">
        <v>0</v>
      </c>
      <c r="F710">
        <v>0</v>
      </c>
      <c r="G710">
        <v>0</v>
      </c>
      <c r="H710">
        <v>48</v>
      </c>
      <c r="I710" s="183" t="s">
        <v>1098</v>
      </c>
      <c r="J710" s="183" t="s">
        <v>12052</v>
      </c>
      <c r="K710">
        <v>0</v>
      </c>
      <c r="L710">
        <v>48</v>
      </c>
    </row>
    <row r="711" spans="1:12">
      <c r="A711" s="183" t="s">
        <v>8372</v>
      </c>
      <c r="B711" s="183" t="s">
        <v>8373</v>
      </c>
      <c r="C711">
        <v>50205115</v>
      </c>
      <c r="D711">
        <v>30</v>
      </c>
      <c r="E711">
        <v>0</v>
      </c>
      <c r="F711">
        <v>0</v>
      </c>
      <c r="G711">
        <v>0</v>
      </c>
      <c r="H711">
        <v>30</v>
      </c>
      <c r="I711" s="183" t="s">
        <v>1098</v>
      </c>
      <c r="J711" s="183" t="s">
        <v>12057</v>
      </c>
      <c r="K711">
        <v>0</v>
      </c>
      <c r="L711">
        <v>30</v>
      </c>
    </row>
    <row r="712" spans="1:12">
      <c r="A712" s="183" t="s">
        <v>1536</v>
      </c>
      <c r="B712" s="183" t="s">
        <v>1537</v>
      </c>
      <c r="C712">
        <v>50205116</v>
      </c>
      <c r="D712">
        <v>11</v>
      </c>
      <c r="E712">
        <v>0</v>
      </c>
      <c r="F712">
        <v>0</v>
      </c>
      <c r="G712">
        <v>0</v>
      </c>
      <c r="H712">
        <v>11</v>
      </c>
      <c r="I712" s="183" t="s">
        <v>1098</v>
      </c>
      <c r="J712" s="183" t="s">
        <v>12054</v>
      </c>
      <c r="K712">
        <v>0</v>
      </c>
      <c r="L712">
        <v>11</v>
      </c>
    </row>
    <row r="713" spans="1:12">
      <c r="A713" s="183" t="s">
        <v>2051</v>
      </c>
      <c r="B713" s="183" t="s">
        <v>2052</v>
      </c>
      <c r="C713">
        <v>50206101</v>
      </c>
      <c r="D713">
        <v>52</v>
      </c>
      <c r="E713">
        <v>0</v>
      </c>
      <c r="F713">
        <v>0</v>
      </c>
      <c r="G713">
        <v>0</v>
      </c>
      <c r="H713">
        <v>52</v>
      </c>
      <c r="I713" s="183" t="s">
        <v>1098</v>
      </c>
      <c r="J713" s="183" t="s">
        <v>12055</v>
      </c>
      <c r="K713">
        <v>0</v>
      </c>
      <c r="L713">
        <v>52</v>
      </c>
    </row>
    <row r="714" spans="1:12">
      <c r="A714" s="183" t="s">
        <v>2215</v>
      </c>
      <c r="B714" s="183" t="s">
        <v>2216</v>
      </c>
      <c r="C714">
        <v>50206103</v>
      </c>
      <c r="D714">
        <v>50</v>
      </c>
      <c r="E714">
        <v>0</v>
      </c>
      <c r="F714">
        <v>0</v>
      </c>
      <c r="G714">
        <v>0</v>
      </c>
      <c r="H714">
        <v>50</v>
      </c>
      <c r="I714" s="183" t="s">
        <v>1098</v>
      </c>
      <c r="J714" s="183" t="s">
        <v>12059</v>
      </c>
      <c r="K714">
        <v>0</v>
      </c>
      <c r="L714">
        <v>50</v>
      </c>
    </row>
    <row r="715" spans="1:12">
      <c r="A715" s="183" t="s">
        <v>2547</v>
      </c>
      <c r="B715" s="183" t="s">
        <v>2548</v>
      </c>
      <c r="C715">
        <v>50206215</v>
      </c>
      <c r="D715">
        <v>65</v>
      </c>
      <c r="E715">
        <v>0</v>
      </c>
      <c r="F715">
        <v>0</v>
      </c>
      <c r="G715">
        <v>0</v>
      </c>
      <c r="H715">
        <v>65</v>
      </c>
      <c r="I715" s="183" t="s">
        <v>1098</v>
      </c>
      <c r="J715" s="183" t="s">
        <v>12061</v>
      </c>
      <c r="K715">
        <v>0</v>
      </c>
      <c r="L715">
        <v>65</v>
      </c>
    </row>
    <row r="716" spans="1:12">
      <c r="A716" s="183" t="s">
        <v>2346</v>
      </c>
      <c r="B716" s="183" t="s">
        <v>2347</v>
      </c>
      <c r="C716">
        <v>50206402</v>
      </c>
      <c r="D716">
        <v>16</v>
      </c>
      <c r="E716">
        <v>0</v>
      </c>
      <c r="F716">
        <v>0</v>
      </c>
      <c r="G716">
        <v>0</v>
      </c>
      <c r="H716">
        <v>16</v>
      </c>
      <c r="I716" s="183" t="s">
        <v>1098</v>
      </c>
      <c r="J716" s="183" t="s">
        <v>12060</v>
      </c>
      <c r="K716">
        <v>0</v>
      </c>
      <c r="L716">
        <v>16</v>
      </c>
    </row>
    <row r="717" spans="1:12">
      <c r="A717" s="183" t="s">
        <v>7157</v>
      </c>
      <c r="B717" s="183" t="s">
        <v>7158</v>
      </c>
      <c r="C717">
        <v>50206508</v>
      </c>
      <c r="D717">
        <v>17</v>
      </c>
      <c r="E717">
        <v>0</v>
      </c>
      <c r="F717">
        <v>0</v>
      </c>
      <c r="G717">
        <v>0</v>
      </c>
      <c r="H717">
        <v>17</v>
      </c>
      <c r="I717" s="183" t="s">
        <v>1098</v>
      </c>
      <c r="J717" s="183" t="s">
        <v>12061</v>
      </c>
      <c r="K717">
        <v>0</v>
      </c>
      <c r="L717">
        <v>17</v>
      </c>
    </row>
    <row r="718" spans="1:12">
      <c r="A718" s="183" t="s">
        <v>8182</v>
      </c>
      <c r="B718" s="183" t="s">
        <v>8183</v>
      </c>
      <c r="C718">
        <v>50207110</v>
      </c>
      <c r="D718">
        <v>50</v>
      </c>
      <c r="E718">
        <v>0</v>
      </c>
      <c r="F718">
        <v>0</v>
      </c>
      <c r="G718">
        <v>0</v>
      </c>
      <c r="H718">
        <v>50</v>
      </c>
      <c r="I718" s="183" t="s">
        <v>1098</v>
      </c>
      <c r="J718" s="183" t="s">
        <v>12057</v>
      </c>
      <c r="K718">
        <v>0</v>
      </c>
      <c r="L718">
        <v>50</v>
      </c>
    </row>
    <row r="719" spans="1:12">
      <c r="A719" s="183" t="s">
        <v>2549</v>
      </c>
      <c r="B719" s="183" t="s">
        <v>2550</v>
      </c>
      <c r="C719">
        <v>50207117</v>
      </c>
      <c r="D719">
        <v>39</v>
      </c>
      <c r="E719">
        <v>0</v>
      </c>
      <c r="F719">
        <v>0</v>
      </c>
      <c r="G719">
        <v>0</v>
      </c>
      <c r="H719">
        <v>39</v>
      </c>
      <c r="I719" s="183" t="s">
        <v>1098</v>
      </c>
      <c r="J719" s="183" t="s">
        <v>12060</v>
      </c>
      <c r="K719">
        <v>0</v>
      </c>
      <c r="L719">
        <v>39</v>
      </c>
    </row>
    <row r="720" spans="1:12">
      <c r="A720" s="183" t="s">
        <v>2527</v>
      </c>
      <c r="B720" s="183" t="s">
        <v>2528</v>
      </c>
      <c r="C720">
        <v>50208517</v>
      </c>
      <c r="D720">
        <v>16</v>
      </c>
      <c r="E720">
        <v>0</v>
      </c>
      <c r="F720">
        <v>0</v>
      </c>
      <c r="G720">
        <v>0</v>
      </c>
      <c r="H720">
        <v>16</v>
      </c>
      <c r="I720" s="183" t="s">
        <v>1098</v>
      </c>
      <c r="J720" s="183" t="s">
        <v>12061</v>
      </c>
      <c r="K720">
        <v>0</v>
      </c>
      <c r="L720">
        <v>16</v>
      </c>
    </row>
    <row r="721" spans="1:12">
      <c r="A721" s="183" t="s">
        <v>2079</v>
      </c>
      <c r="B721" s="183" t="s">
        <v>2080</v>
      </c>
      <c r="C721">
        <v>50206210</v>
      </c>
      <c r="D721">
        <v>55</v>
      </c>
      <c r="E721">
        <v>0</v>
      </c>
      <c r="F721">
        <v>0</v>
      </c>
      <c r="G721">
        <v>0</v>
      </c>
      <c r="H721">
        <v>55</v>
      </c>
      <c r="I721" s="183" t="s">
        <v>1098</v>
      </c>
      <c r="J721" s="183" t="s">
        <v>12061</v>
      </c>
      <c r="K721">
        <v>0</v>
      </c>
      <c r="L721">
        <v>55</v>
      </c>
    </row>
    <row r="722" spans="1:12">
      <c r="A722" s="183" t="s">
        <v>1763</v>
      </c>
      <c r="B722" s="183" t="s">
        <v>1764</v>
      </c>
      <c r="C722">
        <v>50206216</v>
      </c>
      <c r="D722">
        <v>49</v>
      </c>
      <c r="E722">
        <v>0</v>
      </c>
      <c r="F722">
        <v>0</v>
      </c>
      <c r="G722">
        <v>0</v>
      </c>
      <c r="H722">
        <v>49</v>
      </c>
      <c r="I722" s="183" t="s">
        <v>1098</v>
      </c>
      <c r="J722" s="183" t="s">
        <v>12057</v>
      </c>
      <c r="K722">
        <v>0</v>
      </c>
      <c r="L722">
        <v>49</v>
      </c>
    </row>
    <row r="723" spans="1:12">
      <c r="A723" s="183" t="s">
        <v>2256</v>
      </c>
      <c r="B723" s="183" t="s">
        <v>2257</v>
      </c>
      <c r="C723">
        <v>50206308</v>
      </c>
      <c r="D723">
        <v>28</v>
      </c>
      <c r="E723">
        <v>0</v>
      </c>
      <c r="F723">
        <v>0</v>
      </c>
      <c r="G723">
        <v>0</v>
      </c>
      <c r="H723">
        <v>28</v>
      </c>
      <c r="I723" s="183" t="s">
        <v>1098</v>
      </c>
      <c r="J723" s="183" t="s">
        <v>12055</v>
      </c>
      <c r="K723">
        <v>0</v>
      </c>
      <c r="L723">
        <v>28</v>
      </c>
    </row>
    <row r="724" spans="1:12">
      <c r="A724" s="183" t="s">
        <v>8202</v>
      </c>
      <c r="B724" s="183" t="s">
        <v>8203</v>
      </c>
      <c r="C724">
        <v>50207116</v>
      </c>
      <c r="D724">
        <v>50</v>
      </c>
      <c r="E724">
        <v>0</v>
      </c>
      <c r="F724">
        <v>0</v>
      </c>
      <c r="G724">
        <v>0</v>
      </c>
      <c r="H724">
        <v>50</v>
      </c>
      <c r="I724" s="183" t="s">
        <v>1098</v>
      </c>
      <c r="J724" s="183" t="s">
        <v>12058</v>
      </c>
      <c r="K724">
        <v>0</v>
      </c>
      <c r="L724">
        <v>50</v>
      </c>
    </row>
    <row r="725" spans="1:12">
      <c r="A725" s="183" t="s">
        <v>2376</v>
      </c>
      <c r="B725" s="183" t="s">
        <v>2377</v>
      </c>
      <c r="C725">
        <v>50207210</v>
      </c>
      <c r="D725">
        <v>50</v>
      </c>
      <c r="E725">
        <v>0</v>
      </c>
      <c r="F725">
        <v>0</v>
      </c>
      <c r="G725">
        <v>0</v>
      </c>
      <c r="H725">
        <v>50</v>
      </c>
      <c r="I725" s="183" t="s">
        <v>1098</v>
      </c>
      <c r="J725" s="183" t="s">
        <v>12052</v>
      </c>
      <c r="K725">
        <v>0</v>
      </c>
      <c r="L725">
        <v>50</v>
      </c>
    </row>
    <row r="726" spans="1:12">
      <c r="A726" s="183" t="s">
        <v>2077</v>
      </c>
      <c r="B726" s="183" t="s">
        <v>2078</v>
      </c>
      <c r="C726">
        <v>50208108</v>
      </c>
      <c r="D726">
        <v>43</v>
      </c>
      <c r="E726">
        <v>0</v>
      </c>
      <c r="F726">
        <v>0</v>
      </c>
      <c r="G726">
        <v>0</v>
      </c>
      <c r="H726">
        <v>43</v>
      </c>
      <c r="I726" s="183" t="s">
        <v>1098</v>
      </c>
      <c r="J726" s="183" t="s">
        <v>12054</v>
      </c>
      <c r="K726">
        <v>0</v>
      </c>
      <c r="L726">
        <v>43</v>
      </c>
    </row>
    <row r="727" spans="1:12">
      <c r="A727" s="183" t="s">
        <v>2575</v>
      </c>
      <c r="B727" s="183" t="s">
        <v>2576</v>
      </c>
      <c r="C727">
        <v>50208508</v>
      </c>
      <c r="D727">
        <v>50</v>
      </c>
      <c r="E727">
        <v>0</v>
      </c>
      <c r="F727">
        <v>0</v>
      </c>
      <c r="G727">
        <v>0</v>
      </c>
      <c r="H727">
        <v>50</v>
      </c>
      <c r="I727" s="183" t="s">
        <v>1098</v>
      </c>
      <c r="J727" s="183" t="s">
        <v>12061</v>
      </c>
      <c r="K727">
        <v>0</v>
      </c>
      <c r="L727">
        <v>50</v>
      </c>
    </row>
    <row r="728" spans="1:12">
      <c r="A728" s="183" t="s">
        <v>1096</v>
      </c>
      <c r="B728" s="183" t="s">
        <v>1097</v>
      </c>
      <c r="C728">
        <v>50209116</v>
      </c>
      <c r="D728">
        <v>43</v>
      </c>
      <c r="E728">
        <v>0</v>
      </c>
      <c r="F728">
        <v>0</v>
      </c>
      <c r="G728">
        <v>0</v>
      </c>
      <c r="H728">
        <v>43</v>
      </c>
      <c r="I728" s="183" t="s">
        <v>1098</v>
      </c>
      <c r="J728" s="183" t="s">
        <v>12052</v>
      </c>
      <c r="K728">
        <v>0</v>
      </c>
      <c r="L728">
        <v>43</v>
      </c>
    </row>
    <row r="729" spans="1:12">
      <c r="A729" s="183" t="s">
        <v>8256</v>
      </c>
      <c r="B729" s="183" t="s">
        <v>8257</v>
      </c>
      <c r="C729">
        <v>50209203</v>
      </c>
      <c r="D729">
        <v>49</v>
      </c>
      <c r="E729">
        <v>0</v>
      </c>
      <c r="F729">
        <v>0</v>
      </c>
      <c r="G729">
        <v>0</v>
      </c>
      <c r="H729">
        <v>49</v>
      </c>
      <c r="I729" s="183" t="s">
        <v>1098</v>
      </c>
      <c r="J729" s="183" t="s">
        <v>12060</v>
      </c>
      <c r="K729">
        <v>0</v>
      </c>
      <c r="L729">
        <v>49</v>
      </c>
    </row>
    <row r="730" spans="1:12">
      <c r="A730" s="183" t="s">
        <v>7987</v>
      </c>
      <c r="B730" s="183" t="s">
        <v>7988</v>
      </c>
      <c r="C730">
        <v>50209417</v>
      </c>
      <c r="D730">
        <v>49</v>
      </c>
      <c r="E730">
        <v>0</v>
      </c>
      <c r="F730">
        <v>0</v>
      </c>
      <c r="G730">
        <v>0</v>
      </c>
      <c r="H730">
        <v>49</v>
      </c>
      <c r="I730" s="183" t="s">
        <v>1098</v>
      </c>
      <c r="J730" s="183" t="s">
        <v>12056</v>
      </c>
      <c r="K730">
        <v>0</v>
      </c>
      <c r="L730">
        <v>49</v>
      </c>
    </row>
    <row r="731" spans="1:12">
      <c r="A731" s="183" t="s">
        <v>1935</v>
      </c>
      <c r="B731" s="183" t="s">
        <v>1936</v>
      </c>
      <c r="C731">
        <v>50210116</v>
      </c>
      <c r="D731">
        <v>49</v>
      </c>
      <c r="E731">
        <v>0</v>
      </c>
      <c r="F731">
        <v>0</v>
      </c>
      <c r="G731">
        <v>0</v>
      </c>
      <c r="H731">
        <v>49</v>
      </c>
      <c r="I731" s="183" t="s">
        <v>1098</v>
      </c>
      <c r="J731" s="183" t="s">
        <v>12058</v>
      </c>
      <c r="K731">
        <v>0</v>
      </c>
      <c r="L731">
        <v>49</v>
      </c>
    </row>
    <row r="732" spans="1:12">
      <c r="A732" s="183" t="s">
        <v>2607</v>
      </c>
      <c r="B732" s="183" t="s">
        <v>2608</v>
      </c>
      <c r="C732">
        <v>50210201</v>
      </c>
      <c r="D732">
        <v>47</v>
      </c>
      <c r="E732">
        <v>0</v>
      </c>
      <c r="F732">
        <v>0</v>
      </c>
      <c r="G732">
        <v>0</v>
      </c>
      <c r="H732">
        <v>47</v>
      </c>
      <c r="I732" s="183" t="s">
        <v>1098</v>
      </c>
      <c r="J732" s="183" t="s">
        <v>12059</v>
      </c>
      <c r="K732">
        <v>0</v>
      </c>
      <c r="L732">
        <v>47</v>
      </c>
    </row>
    <row r="733" spans="1:12">
      <c r="A733" s="183" t="s">
        <v>5051</v>
      </c>
      <c r="B733" s="183" t="s">
        <v>5052</v>
      </c>
      <c r="C733">
        <v>50210203</v>
      </c>
      <c r="D733">
        <v>37</v>
      </c>
      <c r="E733">
        <v>0</v>
      </c>
      <c r="F733">
        <v>0</v>
      </c>
      <c r="G733">
        <v>0</v>
      </c>
      <c r="H733">
        <v>37</v>
      </c>
      <c r="I733" s="183" t="s">
        <v>1098</v>
      </c>
      <c r="J733" s="183" t="s">
        <v>12052</v>
      </c>
      <c r="K733">
        <v>0</v>
      </c>
      <c r="L733">
        <v>37</v>
      </c>
    </row>
    <row r="734" spans="1:12">
      <c r="A734" s="183" t="s">
        <v>7110</v>
      </c>
      <c r="B734" s="183" t="s">
        <v>7111</v>
      </c>
      <c r="C734">
        <v>50210208</v>
      </c>
      <c r="D734">
        <v>24</v>
      </c>
      <c r="E734">
        <v>0</v>
      </c>
      <c r="F734">
        <v>0</v>
      </c>
      <c r="G734">
        <v>0</v>
      </c>
      <c r="H734">
        <v>24</v>
      </c>
      <c r="I734" s="183" t="s">
        <v>1098</v>
      </c>
      <c r="J734" s="183" t="s">
        <v>12052</v>
      </c>
      <c r="K734">
        <v>0</v>
      </c>
      <c r="L734">
        <v>24</v>
      </c>
    </row>
    <row r="735" spans="1:12">
      <c r="A735" s="183" t="s">
        <v>8043</v>
      </c>
      <c r="B735" s="183" t="s">
        <v>8044</v>
      </c>
      <c r="C735">
        <v>50210217</v>
      </c>
      <c r="D735">
        <v>49</v>
      </c>
      <c r="E735">
        <v>0</v>
      </c>
      <c r="F735">
        <v>0</v>
      </c>
      <c r="G735">
        <v>0</v>
      </c>
      <c r="H735">
        <v>49</v>
      </c>
      <c r="I735" s="183" t="s">
        <v>1098</v>
      </c>
      <c r="J735" s="183" t="s">
        <v>12055</v>
      </c>
      <c r="K735">
        <v>0</v>
      </c>
      <c r="L735">
        <v>49</v>
      </c>
    </row>
    <row r="736" spans="1:12">
      <c r="A736" s="183" t="s">
        <v>2378</v>
      </c>
      <c r="B736" s="183" t="s">
        <v>2379</v>
      </c>
      <c r="C736">
        <v>50210415</v>
      </c>
      <c r="D736">
        <v>49</v>
      </c>
      <c r="E736">
        <v>0</v>
      </c>
      <c r="F736">
        <v>0</v>
      </c>
      <c r="G736">
        <v>0</v>
      </c>
      <c r="H736">
        <v>49</v>
      </c>
      <c r="I736" s="183" t="s">
        <v>1098</v>
      </c>
      <c r="J736" s="183" t="s">
        <v>12057</v>
      </c>
      <c r="K736">
        <v>0</v>
      </c>
      <c r="L736">
        <v>49</v>
      </c>
    </row>
    <row r="737" spans="1:12">
      <c r="A737" s="183" t="s">
        <v>5142</v>
      </c>
      <c r="B737" s="183" t="s">
        <v>5143</v>
      </c>
      <c r="C737">
        <v>50210515</v>
      </c>
      <c r="D737">
        <v>69</v>
      </c>
      <c r="E737">
        <v>0</v>
      </c>
      <c r="F737">
        <v>0</v>
      </c>
      <c r="G737">
        <v>0</v>
      </c>
      <c r="H737">
        <v>69</v>
      </c>
      <c r="I737" s="183" t="s">
        <v>1098</v>
      </c>
      <c r="J737" s="183" t="s">
        <v>12052</v>
      </c>
      <c r="K737">
        <v>0</v>
      </c>
      <c r="L737">
        <v>69</v>
      </c>
    </row>
    <row r="738" spans="1:12">
      <c r="A738" s="183" t="s">
        <v>1582</v>
      </c>
      <c r="B738" s="183" t="s">
        <v>1583</v>
      </c>
      <c r="C738">
        <v>50211103</v>
      </c>
      <c r="D738">
        <v>43</v>
      </c>
      <c r="E738">
        <v>0</v>
      </c>
      <c r="F738">
        <v>0</v>
      </c>
      <c r="G738">
        <v>0</v>
      </c>
      <c r="H738">
        <v>43</v>
      </c>
      <c r="I738" s="183" t="s">
        <v>1098</v>
      </c>
      <c r="J738" s="183" t="s">
        <v>12050</v>
      </c>
      <c r="K738">
        <v>0</v>
      </c>
      <c r="L738">
        <v>43</v>
      </c>
    </row>
    <row r="739" spans="1:12">
      <c r="A739" s="183" t="s">
        <v>2386</v>
      </c>
      <c r="B739" s="183" t="s">
        <v>2387</v>
      </c>
      <c r="C739">
        <v>50211210</v>
      </c>
      <c r="D739">
        <v>50</v>
      </c>
      <c r="E739">
        <v>0</v>
      </c>
      <c r="F739">
        <v>0</v>
      </c>
      <c r="G739">
        <v>0</v>
      </c>
      <c r="H739">
        <v>50</v>
      </c>
      <c r="I739" s="183" t="s">
        <v>1098</v>
      </c>
      <c r="J739" s="183" t="s">
        <v>12061</v>
      </c>
      <c r="K739">
        <v>0</v>
      </c>
      <c r="L739">
        <v>50</v>
      </c>
    </row>
    <row r="740" spans="1:12">
      <c r="A740" s="183" t="s">
        <v>5074</v>
      </c>
      <c r="B740" s="183" t="s">
        <v>5075</v>
      </c>
      <c r="C740">
        <v>50211403</v>
      </c>
      <c r="D740">
        <v>42</v>
      </c>
      <c r="E740">
        <v>0</v>
      </c>
      <c r="F740">
        <v>0</v>
      </c>
      <c r="G740">
        <v>0</v>
      </c>
      <c r="H740">
        <v>42</v>
      </c>
      <c r="I740" s="183" t="s">
        <v>1098</v>
      </c>
      <c r="J740" s="183" t="s">
        <v>12066</v>
      </c>
      <c r="K740">
        <v>0</v>
      </c>
      <c r="L740">
        <v>42</v>
      </c>
    </row>
    <row r="741" spans="1:12">
      <c r="A741" s="183" t="s">
        <v>8073</v>
      </c>
      <c r="B741" s="183" t="s">
        <v>8074</v>
      </c>
      <c r="C741">
        <v>50211417</v>
      </c>
      <c r="D741">
        <v>50</v>
      </c>
      <c r="E741">
        <v>0</v>
      </c>
      <c r="F741">
        <v>0</v>
      </c>
      <c r="G741">
        <v>0</v>
      </c>
      <c r="H741">
        <v>50</v>
      </c>
      <c r="I741" s="183" t="s">
        <v>1098</v>
      </c>
      <c r="J741" s="183" t="s">
        <v>12056</v>
      </c>
      <c r="K741">
        <v>0</v>
      </c>
      <c r="L741">
        <v>50</v>
      </c>
    </row>
    <row r="742" spans="1:12">
      <c r="A742" s="183" t="s">
        <v>8392</v>
      </c>
      <c r="B742" s="183" t="s">
        <v>8393</v>
      </c>
      <c r="C742">
        <v>50212201</v>
      </c>
      <c r="D742">
        <v>48</v>
      </c>
      <c r="E742">
        <v>0</v>
      </c>
      <c r="F742">
        <v>0</v>
      </c>
      <c r="G742">
        <v>0</v>
      </c>
      <c r="H742">
        <v>48</v>
      </c>
      <c r="I742" s="183" t="s">
        <v>1098</v>
      </c>
      <c r="J742" s="183" t="s">
        <v>12054</v>
      </c>
      <c r="K742">
        <v>0</v>
      </c>
      <c r="L742">
        <v>48</v>
      </c>
    </row>
    <row r="743" spans="1:12">
      <c r="A743" s="183" t="s">
        <v>2580</v>
      </c>
      <c r="B743" s="183" t="s">
        <v>2581</v>
      </c>
      <c r="C743">
        <v>50212203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1098</v>
      </c>
      <c r="J743" s="183" t="s">
        <v>12052</v>
      </c>
      <c r="K743">
        <v>0</v>
      </c>
      <c r="L743">
        <v>48</v>
      </c>
    </row>
    <row r="744" spans="1:12">
      <c r="A744" s="183" t="s">
        <v>2380</v>
      </c>
      <c r="B744" s="183" t="s">
        <v>2381</v>
      </c>
      <c r="C744">
        <v>50212215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1098</v>
      </c>
      <c r="J744" s="183" t="s">
        <v>12066</v>
      </c>
      <c r="K744">
        <v>0</v>
      </c>
      <c r="L744">
        <v>50</v>
      </c>
    </row>
    <row r="745" spans="1:12">
      <c r="A745" s="183" t="s">
        <v>8049</v>
      </c>
      <c r="B745" s="183" t="s">
        <v>8050</v>
      </c>
      <c r="C745">
        <v>50212317</v>
      </c>
      <c r="D745">
        <v>47</v>
      </c>
      <c r="E745">
        <v>0</v>
      </c>
      <c r="F745">
        <v>0</v>
      </c>
      <c r="G745">
        <v>0</v>
      </c>
      <c r="H745">
        <v>47</v>
      </c>
      <c r="I745" s="183" t="s">
        <v>1098</v>
      </c>
      <c r="J745" s="183" t="s">
        <v>12057</v>
      </c>
      <c r="K745">
        <v>0</v>
      </c>
      <c r="L745">
        <v>47</v>
      </c>
    </row>
    <row r="746" spans="1:12">
      <c r="A746" s="183" t="s">
        <v>2085</v>
      </c>
      <c r="B746" s="183" t="s">
        <v>2086</v>
      </c>
      <c r="C746">
        <v>50213110</v>
      </c>
      <c r="D746">
        <v>37</v>
      </c>
      <c r="E746">
        <v>0</v>
      </c>
      <c r="F746">
        <v>0</v>
      </c>
      <c r="G746">
        <v>0</v>
      </c>
      <c r="H746">
        <v>37</v>
      </c>
      <c r="I746" s="183" t="s">
        <v>1098</v>
      </c>
      <c r="J746" s="183" t="s">
        <v>12055</v>
      </c>
      <c r="K746">
        <v>0</v>
      </c>
      <c r="L746">
        <v>37</v>
      </c>
    </row>
    <row r="747" spans="1:12">
      <c r="A747" s="183" t="s">
        <v>8360</v>
      </c>
      <c r="B747" s="183" t="s">
        <v>8361</v>
      </c>
      <c r="C747">
        <v>50213216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12054</v>
      </c>
      <c r="K747">
        <v>0</v>
      </c>
      <c r="L747">
        <v>49</v>
      </c>
    </row>
    <row r="748" spans="1:12">
      <c r="A748" s="183" t="s">
        <v>2627</v>
      </c>
      <c r="B748" s="183" t="s">
        <v>2628</v>
      </c>
      <c r="C748">
        <v>50213301</v>
      </c>
      <c r="D748">
        <v>45</v>
      </c>
      <c r="E748">
        <v>0</v>
      </c>
      <c r="F748">
        <v>0</v>
      </c>
      <c r="G748">
        <v>0</v>
      </c>
      <c r="H748">
        <v>45</v>
      </c>
      <c r="I748" s="183" t="s">
        <v>1098</v>
      </c>
      <c r="J748" s="183" t="s">
        <v>12061</v>
      </c>
      <c r="K748">
        <v>0</v>
      </c>
      <c r="L748">
        <v>45</v>
      </c>
    </row>
    <row r="749" spans="1:12">
      <c r="A749" s="183" t="s">
        <v>2390</v>
      </c>
      <c r="B749" s="183" t="s">
        <v>2391</v>
      </c>
      <c r="C749">
        <v>50213302</v>
      </c>
      <c r="D749">
        <v>42</v>
      </c>
      <c r="E749">
        <v>0</v>
      </c>
      <c r="F749">
        <v>0</v>
      </c>
      <c r="G749">
        <v>0</v>
      </c>
      <c r="H749">
        <v>42</v>
      </c>
      <c r="I749" s="183" t="s">
        <v>1098</v>
      </c>
      <c r="J749" s="183" t="s">
        <v>12059</v>
      </c>
      <c r="K749">
        <v>0</v>
      </c>
      <c r="L749">
        <v>42</v>
      </c>
    </row>
    <row r="750" spans="1:12">
      <c r="A750" s="183" t="s">
        <v>8089</v>
      </c>
      <c r="B750" s="183" t="s">
        <v>8090</v>
      </c>
      <c r="C750">
        <v>50213417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1098</v>
      </c>
      <c r="J750" s="183" t="s">
        <v>12056</v>
      </c>
      <c r="K750">
        <v>0</v>
      </c>
      <c r="L750">
        <v>50</v>
      </c>
    </row>
    <row r="751" spans="1:12">
      <c r="A751" s="183" t="s">
        <v>2384</v>
      </c>
      <c r="B751" s="183" t="s">
        <v>2385</v>
      </c>
      <c r="C751">
        <v>50213502</v>
      </c>
      <c r="D751">
        <v>49</v>
      </c>
      <c r="E751">
        <v>0</v>
      </c>
      <c r="F751">
        <v>0</v>
      </c>
      <c r="G751">
        <v>0</v>
      </c>
      <c r="H751">
        <v>49</v>
      </c>
      <c r="I751" s="183" t="s">
        <v>1098</v>
      </c>
      <c r="J751" s="183" t="s">
        <v>12066</v>
      </c>
      <c r="K751">
        <v>0</v>
      </c>
      <c r="L751">
        <v>49</v>
      </c>
    </row>
    <row r="752" spans="1:12">
      <c r="A752" s="183" t="s">
        <v>8366</v>
      </c>
      <c r="B752" s="183" t="s">
        <v>8367</v>
      </c>
      <c r="C752">
        <v>50214316</v>
      </c>
      <c r="D752">
        <v>38</v>
      </c>
      <c r="E752">
        <v>0</v>
      </c>
      <c r="F752">
        <v>0</v>
      </c>
      <c r="G752">
        <v>0</v>
      </c>
      <c r="H752">
        <v>38</v>
      </c>
      <c r="I752" s="183" t="s">
        <v>1098</v>
      </c>
      <c r="J752" s="183" t="s">
        <v>12055</v>
      </c>
      <c r="K752">
        <v>0</v>
      </c>
      <c r="L752">
        <v>38</v>
      </c>
    </row>
    <row r="753" spans="1:12">
      <c r="A753" s="183" t="s">
        <v>2613</v>
      </c>
      <c r="B753" s="183" t="s">
        <v>2614</v>
      </c>
      <c r="C753">
        <v>50215202</v>
      </c>
      <c r="D753">
        <v>47</v>
      </c>
      <c r="E753">
        <v>0</v>
      </c>
      <c r="F753">
        <v>0</v>
      </c>
      <c r="G753">
        <v>0</v>
      </c>
      <c r="H753">
        <v>47</v>
      </c>
      <c r="I753" s="183" t="s">
        <v>1098</v>
      </c>
      <c r="J753" s="183" t="s">
        <v>12061</v>
      </c>
      <c r="K753">
        <v>0</v>
      </c>
      <c r="L753">
        <v>47</v>
      </c>
    </row>
    <row r="754" spans="1:12">
      <c r="A754" s="183" t="s">
        <v>1402</v>
      </c>
      <c r="B754" s="183" t="s">
        <v>1403</v>
      </c>
      <c r="C754">
        <v>50215215</v>
      </c>
      <c r="D754">
        <v>47</v>
      </c>
      <c r="E754">
        <v>0</v>
      </c>
      <c r="F754">
        <v>0</v>
      </c>
      <c r="G754">
        <v>0</v>
      </c>
      <c r="H754">
        <v>47</v>
      </c>
      <c r="I754" s="183" t="s">
        <v>1098</v>
      </c>
      <c r="J754" s="183" t="s">
        <v>12059</v>
      </c>
      <c r="K754">
        <v>0</v>
      </c>
      <c r="L754">
        <v>47</v>
      </c>
    </row>
    <row r="755" spans="1:12">
      <c r="A755" s="183" t="s">
        <v>5134</v>
      </c>
      <c r="B755" s="183" t="s">
        <v>5135</v>
      </c>
      <c r="C755">
        <v>50215502</v>
      </c>
      <c r="D755">
        <v>47</v>
      </c>
      <c r="E755">
        <v>0</v>
      </c>
      <c r="F755">
        <v>0</v>
      </c>
      <c r="G755">
        <v>0</v>
      </c>
      <c r="H755">
        <v>47</v>
      </c>
      <c r="I755" s="183" t="s">
        <v>1098</v>
      </c>
      <c r="J755" s="183" t="s">
        <v>12052</v>
      </c>
      <c r="K755">
        <v>0</v>
      </c>
      <c r="L755">
        <v>47</v>
      </c>
    </row>
    <row r="756" spans="1:12">
      <c r="A756" s="183" t="s">
        <v>1749</v>
      </c>
      <c r="B756" s="183" t="s">
        <v>1750</v>
      </c>
      <c r="C756">
        <v>50216215</v>
      </c>
      <c r="D756">
        <v>47</v>
      </c>
      <c r="E756">
        <v>0</v>
      </c>
      <c r="F756">
        <v>0</v>
      </c>
      <c r="G756">
        <v>0</v>
      </c>
      <c r="H756">
        <v>47</v>
      </c>
      <c r="I756" s="183" t="s">
        <v>1098</v>
      </c>
      <c r="J756" s="183" t="s">
        <v>12057</v>
      </c>
      <c r="K756">
        <v>0</v>
      </c>
      <c r="L756">
        <v>47</v>
      </c>
    </row>
    <row r="757" spans="1:12">
      <c r="A757" s="183" t="s">
        <v>2248</v>
      </c>
      <c r="B757" s="183" t="s">
        <v>2249</v>
      </c>
      <c r="C757">
        <v>50217110</v>
      </c>
      <c r="D757">
        <v>20</v>
      </c>
      <c r="E757">
        <v>0</v>
      </c>
      <c r="F757">
        <v>0</v>
      </c>
      <c r="G757">
        <v>0</v>
      </c>
      <c r="H757">
        <v>20</v>
      </c>
      <c r="I757" s="183" t="s">
        <v>1098</v>
      </c>
      <c r="J757" s="183" t="s">
        <v>12056</v>
      </c>
      <c r="K757">
        <v>0</v>
      </c>
      <c r="L757">
        <v>20</v>
      </c>
    </row>
    <row r="758" spans="1:12">
      <c r="A758" s="183" t="s">
        <v>8320</v>
      </c>
      <c r="B758" s="183" t="s">
        <v>8321</v>
      </c>
      <c r="C758">
        <v>50217315</v>
      </c>
      <c r="D758">
        <v>49</v>
      </c>
      <c r="E758">
        <v>0</v>
      </c>
      <c r="F758">
        <v>0</v>
      </c>
      <c r="G758">
        <v>0</v>
      </c>
      <c r="H758">
        <v>49</v>
      </c>
      <c r="I758" s="183" t="s">
        <v>1098</v>
      </c>
      <c r="J758" s="183" t="s">
        <v>12067</v>
      </c>
      <c r="K758">
        <v>0</v>
      </c>
      <c r="L758">
        <v>49</v>
      </c>
    </row>
    <row r="759" spans="1:12">
      <c r="A759" s="183" t="s">
        <v>2600</v>
      </c>
      <c r="B759" s="183" t="s">
        <v>2601</v>
      </c>
      <c r="C759">
        <v>50218202</v>
      </c>
      <c r="D759">
        <v>31</v>
      </c>
      <c r="E759">
        <v>0</v>
      </c>
      <c r="F759">
        <v>0</v>
      </c>
      <c r="G759">
        <v>0</v>
      </c>
      <c r="H759">
        <v>31</v>
      </c>
      <c r="I759" s="183" t="s">
        <v>1098</v>
      </c>
      <c r="J759" s="183" t="s">
        <v>12061</v>
      </c>
      <c r="K759">
        <v>0</v>
      </c>
      <c r="L759">
        <v>31</v>
      </c>
    </row>
    <row r="760" spans="1:12">
      <c r="A760" s="183" t="s">
        <v>2091</v>
      </c>
      <c r="B760" s="183" t="s">
        <v>2092</v>
      </c>
      <c r="C760">
        <v>50218216</v>
      </c>
      <c r="D760">
        <v>50</v>
      </c>
      <c r="E760">
        <v>0</v>
      </c>
      <c r="F760">
        <v>0</v>
      </c>
      <c r="G760">
        <v>0</v>
      </c>
      <c r="H760">
        <v>50</v>
      </c>
      <c r="I760" s="183" t="s">
        <v>1098</v>
      </c>
      <c r="J760" s="183" t="s">
        <v>12054</v>
      </c>
      <c r="K760">
        <v>0</v>
      </c>
      <c r="L760">
        <v>50</v>
      </c>
    </row>
    <row r="761" spans="1:12">
      <c r="A761" s="183" t="s">
        <v>1594</v>
      </c>
      <c r="B761" s="183" t="s">
        <v>1595</v>
      </c>
      <c r="C761">
        <v>50218302</v>
      </c>
      <c r="D761">
        <v>51</v>
      </c>
      <c r="E761">
        <v>0</v>
      </c>
      <c r="F761">
        <v>0</v>
      </c>
      <c r="G761">
        <v>0</v>
      </c>
      <c r="H761">
        <v>51</v>
      </c>
      <c r="I761" s="183" t="s">
        <v>1098</v>
      </c>
      <c r="J761" s="183" t="s">
        <v>12052</v>
      </c>
      <c r="K761">
        <v>0</v>
      </c>
      <c r="L761">
        <v>51</v>
      </c>
    </row>
    <row r="762" spans="1:12">
      <c r="A762" s="183" t="s">
        <v>8469</v>
      </c>
      <c r="B762" s="183" t="s">
        <v>8470</v>
      </c>
      <c r="C762">
        <v>50218316</v>
      </c>
      <c r="D762">
        <v>49</v>
      </c>
      <c r="E762">
        <v>0</v>
      </c>
      <c r="F762">
        <v>0</v>
      </c>
      <c r="G762">
        <v>0</v>
      </c>
      <c r="H762">
        <v>49</v>
      </c>
      <c r="I762" s="183" t="s">
        <v>1098</v>
      </c>
      <c r="J762" s="183" t="s">
        <v>12052</v>
      </c>
      <c r="K762">
        <v>0</v>
      </c>
      <c r="L762">
        <v>49</v>
      </c>
    </row>
    <row r="763" spans="1:12">
      <c r="A763" s="183" t="s">
        <v>2382</v>
      </c>
      <c r="B763" s="183" t="s">
        <v>2383</v>
      </c>
      <c r="C763">
        <v>50218417</v>
      </c>
      <c r="D763">
        <v>38</v>
      </c>
      <c r="E763">
        <v>0</v>
      </c>
      <c r="F763">
        <v>0</v>
      </c>
      <c r="G763">
        <v>0</v>
      </c>
      <c r="H763">
        <v>38</v>
      </c>
      <c r="I763" s="183" t="s">
        <v>1098</v>
      </c>
      <c r="J763" s="183" t="s">
        <v>12061</v>
      </c>
      <c r="K763">
        <v>0</v>
      </c>
      <c r="L763">
        <v>38</v>
      </c>
    </row>
    <row r="764" spans="1:12">
      <c r="A764" s="183" t="s">
        <v>8491</v>
      </c>
      <c r="B764" s="183" t="s">
        <v>8492</v>
      </c>
      <c r="C764">
        <v>50219115</v>
      </c>
      <c r="D764">
        <v>43</v>
      </c>
      <c r="E764">
        <v>0</v>
      </c>
      <c r="F764">
        <v>0</v>
      </c>
      <c r="G764">
        <v>0</v>
      </c>
      <c r="H764">
        <v>43</v>
      </c>
      <c r="I764" s="183" t="s">
        <v>1098</v>
      </c>
      <c r="J764" s="183" t="s">
        <v>12054</v>
      </c>
      <c r="K764">
        <v>0</v>
      </c>
      <c r="L764">
        <v>43</v>
      </c>
    </row>
    <row r="765" spans="1:12">
      <c r="A765" s="183" t="s">
        <v>1719</v>
      </c>
      <c r="B765" s="183" t="s">
        <v>1720</v>
      </c>
      <c r="C765">
        <v>50209302</v>
      </c>
      <c r="D765">
        <v>81</v>
      </c>
      <c r="E765">
        <v>0</v>
      </c>
      <c r="F765">
        <v>0</v>
      </c>
      <c r="G765">
        <v>0</v>
      </c>
      <c r="H765">
        <v>81</v>
      </c>
      <c r="I765" s="183" t="s">
        <v>1098</v>
      </c>
      <c r="J765" s="183" t="s">
        <v>12055</v>
      </c>
      <c r="K765">
        <v>0</v>
      </c>
      <c r="L765">
        <v>81</v>
      </c>
    </row>
    <row r="766" spans="1:12">
      <c r="A766" s="183" t="s">
        <v>2236</v>
      </c>
      <c r="B766" s="183" t="s">
        <v>2237</v>
      </c>
      <c r="C766">
        <v>50209403</v>
      </c>
      <c r="D766">
        <v>50</v>
      </c>
      <c r="E766">
        <v>0</v>
      </c>
      <c r="F766">
        <v>0</v>
      </c>
      <c r="G766">
        <v>0</v>
      </c>
      <c r="H766">
        <v>50</v>
      </c>
      <c r="I766" s="183" t="s">
        <v>1098</v>
      </c>
      <c r="J766" s="183" t="s">
        <v>12060</v>
      </c>
      <c r="K766">
        <v>0</v>
      </c>
      <c r="L766">
        <v>50</v>
      </c>
    </row>
    <row r="767" spans="1:12">
      <c r="A767" s="183" t="s">
        <v>2728</v>
      </c>
      <c r="B767" s="183" t="s">
        <v>2729</v>
      </c>
      <c r="C767">
        <v>50210202</v>
      </c>
      <c r="D767">
        <v>36</v>
      </c>
      <c r="E767">
        <v>0</v>
      </c>
      <c r="F767">
        <v>0</v>
      </c>
      <c r="G767">
        <v>0</v>
      </c>
      <c r="H767">
        <v>36</v>
      </c>
      <c r="I767" s="183" t="s">
        <v>1098</v>
      </c>
      <c r="J767" s="183" t="s">
        <v>12058</v>
      </c>
      <c r="K767">
        <v>0</v>
      </c>
      <c r="L767">
        <v>36</v>
      </c>
    </row>
    <row r="768" spans="1:12">
      <c r="A768" s="183" t="s">
        <v>1721</v>
      </c>
      <c r="B768" s="183" t="s">
        <v>1722</v>
      </c>
      <c r="C768">
        <v>50210210</v>
      </c>
      <c r="D768">
        <v>37</v>
      </c>
      <c r="E768">
        <v>0</v>
      </c>
      <c r="F768">
        <v>0</v>
      </c>
      <c r="G768">
        <v>0</v>
      </c>
      <c r="H768">
        <v>37</v>
      </c>
      <c r="I768" s="183" t="s">
        <v>1098</v>
      </c>
      <c r="J768" s="183" t="s">
        <v>12056</v>
      </c>
      <c r="K768">
        <v>0</v>
      </c>
      <c r="L768">
        <v>37</v>
      </c>
    </row>
    <row r="769" spans="1:12">
      <c r="A769" s="183" t="s">
        <v>1566</v>
      </c>
      <c r="B769" s="183" t="s">
        <v>1567</v>
      </c>
      <c r="C769">
        <v>50210216</v>
      </c>
      <c r="D769">
        <v>19</v>
      </c>
      <c r="E769">
        <v>0</v>
      </c>
      <c r="F769">
        <v>0</v>
      </c>
      <c r="G769">
        <v>0</v>
      </c>
      <c r="H769">
        <v>19</v>
      </c>
      <c r="I769" s="183" t="s">
        <v>1098</v>
      </c>
      <c r="J769" s="183" t="s">
        <v>12052</v>
      </c>
      <c r="K769">
        <v>0</v>
      </c>
      <c r="L769">
        <v>19</v>
      </c>
    </row>
    <row r="770" spans="1:12">
      <c r="A770" s="183" t="s">
        <v>8077</v>
      </c>
      <c r="B770" s="183" t="s">
        <v>8078</v>
      </c>
      <c r="C770">
        <v>50210317</v>
      </c>
      <c r="D770">
        <v>37</v>
      </c>
      <c r="E770">
        <v>0</v>
      </c>
      <c r="F770">
        <v>0</v>
      </c>
      <c r="G770">
        <v>0</v>
      </c>
      <c r="H770">
        <v>37</v>
      </c>
      <c r="I770" s="183" t="s">
        <v>1098</v>
      </c>
      <c r="J770" s="183" t="s">
        <v>12050</v>
      </c>
      <c r="K770">
        <v>0</v>
      </c>
      <c r="L770">
        <v>37</v>
      </c>
    </row>
    <row r="771" spans="1:12">
      <c r="A771" s="183" t="s">
        <v>6986</v>
      </c>
      <c r="B771" s="183" t="s">
        <v>6987</v>
      </c>
      <c r="C771">
        <v>50211101</v>
      </c>
      <c r="D771">
        <v>36</v>
      </c>
      <c r="E771">
        <v>0</v>
      </c>
      <c r="F771">
        <v>0</v>
      </c>
      <c r="G771">
        <v>0</v>
      </c>
      <c r="H771">
        <v>36</v>
      </c>
      <c r="I771" s="183" t="s">
        <v>1098</v>
      </c>
      <c r="J771" s="183" t="s">
        <v>12054</v>
      </c>
      <c r="K771">
        <v>0</v>
      </c>
      <c r="L771">
        <v>36</v>
      </c>
    </row>
    <row r="772" spans="1:12">
      <c r="A772" s="183" t="s">
        <v>2722</v>
      </c>
      <c r="B772" s="183" t="s">
        <v>2723</v>
      </c>
      <c r="C772">
        <v>50211108</v>
      </c>
      <c r="D772">
        <v>42</v>
      </c>
      <c r="E772">
        <v>0</v>
      </c>
      <c r="F772">
        <v>0</v>
      </c>
      <c r="G772">
        <v>0</v>
      </c>
      <c r="H772">
        <v>42</v>
      </c>
      <c r="I772" s="183" t="s">
        <v>1098</v>
      </c>
      <c r="J772" s="183" t="s">
        <v>12057</v>
      </c>
      <c r="K772">
        <v>0</v>
      </c>
      <c r="L772">
        <v>42</v>
      </c>
    </row>
    <row r="773" spans="1:12">
      <c r="A773" s="183" t="s">
        <v>8384</v>
      </c>
      <c r="B773" s="183" t="s">
        <v>8385</v>
      </c>
      <c r="C773">
        <v>50211216</v>
      </c>
      <c r="D773">
        <v>48</v>
      </c>
      <c r="E773">
        <v>0</v>
      </c>
      <c r="F773">
        <v>0</v>
      </c>
      <c r="G773">
        <v>0</v>
      </c>
      <c r="H773">
        <v>48</v>
      </c>
      <c r="I773" s="183" t="s">
        <v>1098</v>
      </c>
      <c r="J773" s="183" t="s">
        <v>12066</v>
      </c>
      <c r="K773">
        <v>0</v>
      </c>
      <c r="L773">
        <v>48</v>
      </c>
    </row>
    <row r="774" spans="1:12">
      <c r="A774" s="183" t="s">
        <v>5126</v>
      </c>
      <c r="B774" s="183" t="s">
        <v>5127</v>
      </c>
      <c r="C774">
        <v>50211516</v>
      </c>
      <c r="D774">
        <v>20</v>
      </c>
      <c r="E774">
        <v>0</v>
      </c>
      <c r="F774">
        <v>0</v>
      </c>
      <c r="G774">
        <v>0</v>
      </c>
      <c r="H774">
        <v>20</v>
      </c>
      <c r="I774" s="183" t="s">
        <v>1098</v>
      </c>
      <c r="J774" s="183" t="s">
        <v>12054</v>
      </c>
      <c r="K774">
        <v>0</v>
      </c>
      <c r="L774">
        <v>20</v>
      </c>
    </row>
    <row r="775" spans="1:12">
      <c r="A775" s="183" t="s">
        <v>2358</v>
      </c>
      <c r="B775" s="183" t="s">
        <v>2359</v>
      </c>
      <c r="C775">
        <v>50212101</v>
      </c>
      <c r="D775">
        <v>72</v>
      </c>
      <c r="E775">
        <v>0</v>
      </c>
      <c r="F775">
        <v>0</v>
      </c>
      <c r="G775">
        <v>0</v>
      </c>
      <c r="H775">
        <v>72</v>
      </c>
      <c r="I775" s="183" t="s">
        <v>1098</v>
      </c>
      <c r="J775" s="183" t="s">
        <v>12056</v>
      </c>
      <c r="K775">
        <v>0</v>
      </c>
      <c r="L775">
        <v>72</v>
      </c>
    </row>
    <row r="776" spans="1:12">
      <c r="A776" s="183" t="s">
        <v>2717</v>
      </c>
      <c r="B776" s="183" t="s">
        <v>2718</v>
      </c>
      <c r="C776">
        <v>50212103</v>
      </c>
      <c r="D776">
        <v>48</v>
      </c>
      <c r="E776">
        <v>0</v>
      </c>
      <c r="F776">
        <v>0</v>
      </c>
      <c r="G776">
        <v>0</v>
      </c>
      <c r="H776">
        <v>48</v>
      </c>
      <c r="I776" s="183" t="s">
        <v>1098</v>
      </c>
      <c r="J776" s="183" t="s">
        <v>12050</v>
      </c>
      <c r="K776">
        <v>0</v>
      </c>
      <c r="L776">
        <v>48</v>
      </c>
    </row>
    <row r="777" spans="1:12">
      <c r="A777" s="183" t="s">
        <v>1919</v>
      </c>
      <c r="B777" s="183" t="s">
        <v>1920</v>
      </c>
      <c r="C777">
        <v>50212115</v>
      </c>
      <c r="D777">
        <v>39</v>
      </c>
      <c r="E777">
        <v>0</v>
      </c>
      <c r="F777">
        <v>0</v>
      </c>
      <c r="G777">
        <v>0</v>
      </c>
      <c r="H777">
        <v>39</v>
      </c>
      <c r="I777" s="183" t="s">
        <v>1098</v>
      </c>
      <c r="J777" s="183" t="s">
        <v>12052</v>
      </c>
      <c r="K777">
        <v>0</v>
      </c>
      <c r="L777">
        <v>39</v>
      </c>
    </row>
    <row r="778" spans="1:12">
      <c r="A778" s="183" t="s">
        <v>2565</v>
      </c>
      <c r="B778" s="183" t="s">
        <v>2566</v>
      </c>
      <c r="C778">
        <v>50212210</v>
      </c>
      <c r="D778">
        <v>50</v>
      </c>
      <c r="E778">
        <v>0</v>
      </c>
      <c r="F778">
        <v>0</v>
      </c>
      <c r="G778">
        <v>0</v>
      </c>
      <c r="H778">
        <v>50</v>
      </c>
      <c r="I778" s="183" t="s">
        <v>1098</v>
      </c>
      <c r="J778" s="183" t="s">
        <v>12052</v>
      </c>
      <c r="K778">
        <v>0</v>
      </c>
      <c r="L778">
        <v>50</v>
      </c>
    </row>
    <row r="779" spans="1:12">
      <c r="A779" s="183" t="s">
        <v>8428</v>
      </c>
      <c r="B779" s="183" t="s">
        <v>8429</v>
      </c>
      <c r="C779">
        <v>50212316</v>
      </c>
      <c r="D779">
        <v>41</v>
      </c>
      <c r="E779">
        <v>0</v>
      </c>
      <c r="F779">
        <v>0</v>
      </c>
      <c r="G779">
        <v>0</v>
      </c>
      <c r="H779">
        <v>41</v>
      </c>
      <c r="I779" s="183" t="s">
        <v>1098</v>
      </c>
      <c r="J779" s="183" t="s">
        <v>12061</v>
      </c>
      <c r="K779">
        <v>0</v>
      </c>
      <c r="L779">
        <v>41</v>
      </c>
    </row>
    <row r="780" spans="1:12">
      <c r="A780" s="183" t="s">
        <v>5128</v>
      </c>
      <c r="B780" s="183" t="s">
        <v>5129</v>
      </c>
      <c r="C780">
        <v>50212503</v>
      </c>
      <c r="D780">
        <v>40</v>
      </c>
      <c r="E780">
        <v>0</v>
      </c>
      <c r="F780">
        <v>0</v>
      </c>
      <c r="G780">
        <v>0</v>
      </c>
      <c r="H780">
        <v>40</v>
      </c>
      <c r="I780" s="183" t="s">
        <v>1098</v>
      </c>
      <c r="J780" s="183" t="s">
        <v>12057</v>
      </c>
      <c r="K780">
        <v>0</v>
      </c>
      <c r="L780">
        <v>40</v>
      </c>
    </row>
    <row r="781" spans="1:12">
      <c r="A781" s="183" t="s">
        <v>6063</v>
      </c>
      <c r="B781" s="183" t="s">
        <v>6064</v>
      </c>
      <c r="C781">
        <v>50213117</v>
      </c>
      <c r="D781">
        <v>42</v>
      </c>
      <c r="E781">
        <v>0</v>
      </c>
      <c r="F781">
        <v>0</v>
      </c>
      <c r="G781">
        <v>0</v>
      </c>
      <c r="H781">
        <v>42</v>
      </c>
      <c r="I781" s="183" t="s">
        <v>1098</v>
      </c>
      <c r="J781" s="183" t="s">
        <v>12061</v>
      </c>
      <c r="K781">
        <v>0</v>
      </c>
      <c r="L781">
        <v>42</v>
      </c>
    </row>
    <row r="782" spans="1:12">
      <c r="A782" s="183" t="s">
        <v>2242</v>
      </c>
      <c r="B782" s="183" t="s">
        <v>2243</v>
      </c>
      <c r="C782">
        <v>50213215</v>
      </c>
      <c r="D782">
        <v>82</v>
      </c>
      <c r="E782">
        <v>0</v>
      </c>
      <c r="F782">
        <v>0</v>
      </c>
      <c r="G782">
        <v>0</v>
      </c>
      <c r="H782">
        <v>82</v>
      </c>
      <c r="I782" s="183" t="s">
        <v>1098</v>
      </c>
      <c r="J782" s="183" t="s">
        <v>12056</v>
      </c>
      <c r="K782">
        <v>0</v>
      </c>
      <c r="L782">
        <v>82</v>
      </c>
    </row>
    <row r="783" spans="1:12">
      <c r="A783" s="183" t="s">
        <v>2218</v>
      </c>
      <c r="B783" s="183" t="s">
        <v>2219</v>
      </c>
      <c r="C783">
        <v>50213402</v>
      </c>
      <c r="D783">
        <v>16</v>
      </c>
      <c r="E783">
        <v>0</v>
      </c>
      <c r="F783">
        <v>0</v>
      </c>
      <c r="G783">
        <v>0</v>
      </c>
      <c r="H783">
        <v>16</v>
      </c>
      <c r="I783" s="183" t="s">
        <v>1098</v>
      </c>
      <c r="J783" s="183" t="s">
        <v>12061</v>
      </c>
      <c r="K783">
        <v>0</v>
      </c>
      <c r="L783">
        <v>16</v>
      </c>
    </row>
    <row r="784" spans="1:12">
      <c r="A784" s="183" t="s">
        <v>1556</v>
      </c>
      <c r="B784" s="183" t="s">
        <v>1557</v>
      </c>
      <c r="C784">
        <v>50214108</v>
      </c>
      <c r="D784">
        <v>90</v>
      </c>
      <c r="E784">
        <v>0</v>
      </c>
      <c r="F784">
        <v>0</v>
      </c>
      <c r="G784">
        <v>0</v>
      </c>
      <c r="H784">
        <v>90</v>
      </c>
      <c r="I784" s="183" t="s">
        <v>1098</v>
      </c>
      <c r="J784" s="183" t="s">
        <v>12059</v>
      </c>
      <c r="K784">
        <v>0</v>
      </c>
      <c r="L784">
        <v>90</v>
      </c>
    </row>
    <row r="785" spans="1:12">
      <c r="A785" s="183" t="s">
        <v>8069</v>
      </c>
      <c r="B785" s="183" t="s">
        <v>8070</v>
      </c>
      <c r="C785">
        <v>50214117</v>
      </c>
      <c r="D785">
        <v>46</v>
      </c>
      <c r="E785">
        <v>0</v>
      </c>
      <c r="F785">
        <v>0</v>
      </c>
      <c r="G785">
        <v>0</v>
      </c>
      <c r="H785">
        <v>46</v>
      </c>
      <c r="I785" s="183" t="s">
        <v>1098</v>
      </c>
      <c r="J785" s="183" t="s">
        <v>12091</v>
      </c>
      <c r="K785">
        <v>0</v>
      </c>
      <c r="L785">
        <v>46</v>
      </c>
    </row>
    <row r="786" spans="1:12">
      <c r="A786" s="183" t="s">
        <v>2730</v>
      </c>
      <c r="B786" s="183" t="s">
        <v>2731</v>
      </c>
      <c r="C786">
        <v>50215102</v>
      </c>
      <c r="D786">
        <v>56</v>
      </c>
      <c r="E786">
        <v>0</v>
      </c>
      <c r="F786">
        <v>0</v>
      </c>
      <c r="G786">
        <v>0</v>
      </c>
      <c r="H786">
        <v>56</v>
      </c>
      <c r="I786" s="183" t="s">
        <v>1098</v>
      </c>
      <c r="J786" s="183" t="s">
        <v>12056</v>
      </c>
      <c r="K786">
        <v>0</v>
      </c>
      <c r="L786">
        <v>56</v>
      </c>
    </row>
    <row r="787" spans="1:12">
      <c r="A787" s="183" t="s">
        <v>1915</v>
      </c>
      <c r="B787" s="183" t="s">
        <v>1916</v>
      </c>
      <c r="C787">
        <v>50215115</v>
      </c>
      <c r="D787">
        <v>40</v>
      </c>
      <c r="E787">
        <v>0</v>
      </c>
      <c r="F787">
        <v>0</v>
      </c>
      <c r="G787">
        <v>0</v>
      </c>
      <c r="H787">
        <v>40</v>
      </c>
      <c r="I787" s="183" t="s">
        <v>1098</v>
      </c>
      <c r="J787" s="183" t="s">
        <v>12050</v>
      </c>
      <c r="K787">
        <v>0</v>
      </c>
      <c r="L787">
        <v>40</v>
      </c>
    </row>
    <row r="788" spans="1:12">
      <c r="A788" s="183" t="s">
        <v>2355</v>
      </c>
      <c r="B788" s="183" t="s">
        <v>2356</v>
      </c>
      <c r="C788">
        <v>50215416</v>
      </c>
      <c r="D788">
        <v>48</v>
      </c>
      <c r="E788">
        <v>0</v>
      </c>
      <c r="F788">
        <v>0</v>
      </c>
      <c r="G788">
        <v>0</v>
      </c>
      <c r="H788">
        <v>48</v>
      </c>
      <c r="I788" s="183" t="s">
        <v>1098</v>
      </c>
      <c r="J788" s="183" t="s">
        <v>12052</v>
      </c>
      <c r="K788">
        <v>0</v>
      </c>
      <c r="L788">
        <v>48</v>
      </c>
    </row>
    <row r="789" spans="1:12">
      <c r="A789" s="183" t="s">
        <v>2055</v>
      </c>
      <c r="B789" s="183" t="s">
        <v>2056</v>
      </c>
      <c r="C789">
        <v>50216101</v>
      </c>
      <c r="D789">
        <v>33</v>
      </c>
      <c r="E789">
        <v>0</v>
      </c>
      <c r="F789">
        <v>0</v>
      </c>
      <c r="G789">
        <v>0</v>
      </c>
      <c r="H789">
        <v>33</v>
      </c>
      <c r="I789" s="183" t="s">
        <v>1098</v>
      </c>
      <c r="J789" s="183" t="s">
        <v>12059</v>
      </c>
      <c r="K789">
        <v>0</v>
      </c>
      <c r="L789">
        <v>33</v>
      </c>
    </row>
    <row r="790" spans="1:12">
      <c r="A790" s="183" t="s">
        <v>1717</v>
      </c>
      <c r="B790" s="183" t="s">
        <v>1718</v>
      </c>
      <c r="C790">
        <v>50216103</v>
      </c>
      <c r="D790">
        <v>49</v>
      </c>
      <c r="E790">
        <v>0</v>
      </c>
      <c r="F790">
        <v>0</v>
      </c>
      <c r="G790">
        <v>0</v>
      </c>
      <c r="H790">
        <v>49</v>
      </c>
      <c r="I790" s="183" t="s">
        <v>1098</v>
      </c>
      <c r="J790" s="183" t="s">
        <v>12054</v>
      </c>
      <c r="K790">
        <v>0</v>
      </c>
      <c r="L790">
        <v>49</v>
      </c>
    </row>
    <row r="791" spans="1:12">
      <c r="A791" s="183" t="s">
        <v>6936</v>
      </c>
      <c r="B791" s="183" t="s">
        <v>6937</v>
      </c>
      <c r="C791">
        <v>50216108</v>
      </c>
      <c r="D791">
        <v>27</v>
      </c>
      <c r="E791">
        <v>0</v>
      </c>
      <c r="F791">
        <v>0</v>
      </c>
      <c r="G791">
        <v>0</v>
      </c>
      <c r="H791">
        <v>27</v>
      </c>
      <c r="I791" s="183" t="s">
        <v>1098</v>
      </c>
      <c r="J791" s="183" t="s">
        <v>12059</v>
      </c>
      <c r="K791">
        <v>0</v>
      </c>
      <c r="L791">
        <v>27</v>
      </c>
    </row>
    <row r="792" spans="1:12">
      <c r="A792" s="183" t="s">
        <v>8382</v>
      </c>
      <c r="B792" s="183" t="s">
        <v>8383</v>
      </c>
      <c r="C792">
        <v>50216315</v>
      </c>
      <c r="D792">
        <v>49</v>
      </c>
      <c r="E792">
        <v>0</v>
      </c>
      <c r="F792">
        <v>0</v>
      </c>
      <c r="G792">
        <v>0</v>
      </c>
      <c r="H792">
        <v>49</v>
      </c>
      <c r="I792" s="183" t="s">
        <v>1098</v>
      </c>
      <c r="J792" s="183" t="s">
        <v>12056</v>
      </c>
      <c r="K792">
        <v>0</v>
      </c>
      <c r="L792">
        <v>49</v>
      </c>
    </row>
    <row r="793" spans="1:12">
      <c r="A793" s="183" t="s">
        <v>2360</v>
      </c>
      <c r="B793" s="183" t="s">
        <v>2361</v>
      </c>
      <c r="C793">
        <v>50217116</v>
      </c>
      <c r="D793">
        <v>38</v>
      </c>
      <c r="E793">
        <v>0</v>
      </c>
      <c r="F793">
        <v>0</v>
      </c>
      <c r="G793">
        <v>0</v>
      </c>
      <c r="H793">
        <v>38</v>
      </c>
      <c r="I793" s="183" t="s">
        <v>1098</v>
      </c>
      <c r="J793" s="183" t="s">
        <v>12052</v>
      </c>
      <c r="K793">
        <v>0</v>
      </c>
      <c r="L793">
        <v>38</v>
      </c>
    </row>
    <row r="794" spans="1:12">
      <c r="A794" s="183" t="s">
        <v>1907</v>
      </c>
      <c r="B794" s="183" t="s">
        <v>1908</v>
      </c>
      <c r="C794">
        <v>50219101</v>
      </c>
      <c r="D794">
        <v>47</v>
      </c>
      <c r="E794">
        <v>0</v>
      </c>
      <c r="F794">
        <v>0</v>
      </c>
      <c r="G794">
        <v>0</v>
      </c>
      <c r="H794">
        <v>47</v>
      </c>
      <c r="I794" s="183" t="s">
        <v>1098</v>
      </c>
      <c r="J794" s="183" t="s">
        <v>12060</v>
      </c>
      <c r="K794">
        <v>0</v>
      </c>
      <c r="L794">
        <v>47</v>
      </c>
    </row>
    <row r="795" spans="1:12">
      <c r="A795" s="183" t="s">
        <v>2061</v>
      </c>
      <c r="B795" s="183" t="s">
        <v>2062</v>
      </c>
      <c r="C795">
        <v>50219103</v>
      </c>
      <c r="D795">
        <v>62</v>
      </c>
      <c r="E795">
        <v>0</v>
      </c>
      <c r="F795">
        <v>0</v>
      </c>
      <c r="G795">
        <v>0</v>
      </c>
      <c r="H795">
        <v>62</v>
      </c>
      <c r="I795" s="183" t="s">
        <v>1098</v>
      </c>
      <c r="J795" s="183" t="s">
        <v>12054</v>
      </c>
      <c r="K795">
        <v>0</v>
      </c>
      <c r="L795">
        <v>62</v>
      </c>
    </row>
    <row r="796" spans="1:12">
      <c r="A796" s="183" t="s">
        <v>1913</v>
      </c>
      <c r="B796" s="183" t="s">
        <v>1914</v>
      </c>
      <c r="C796">
        <v>50219108</v>
      </c>
      <c r="D796">
        <v>36</v>
      </c>
      <c r="E796">
        <v>0</v>
      </c>
      <c r="F796">
        <v>0</v>
      </c>
      <c r="G796">
        <v>0</v>
      </c>
      <c r="H796">
        <v>36</v>
      </c>
      <c r="I796" s="183" t="s">
        <v>1098</v>
      </c>
      <c r="J796" s="183" t="s">
        <v>12055</v>
      </c>
      <c r="K796">
        <v>0</v>
      </c>
      <c r="L796">
        <v>36</v>
      </c>
    </row>
    <row r="797" spans="1:12">
      <c r="A797" s="183" t="s">
        <v>2563</v>
      </c>
      <c r="B797" s="183" t="s">
        <v>2564</v>
      </c>
      <c r="C797">
        <v>50219203</v>
      </c>
      <c r="D797">
        <v>49</v>
      </c>
      <c r="E797">
        <v>0</v>
      </c>
      <c r="F797">
        <v>0</v>
      </c>
      <c r="G797">
        <v>0</v>
      </c>
      <c r="H797">
        <v>49</v>
      </c>
      <c r="I797" s="183" t="s">
        <v>1098</v>
      </c>
      <c r="J797" s="183" t="s">
        <v>12056</v>
      </c>
      <c r="K797">
        <v>0</v>
      </c>
      <c r="L797">
        <v>49</v>
      </c>
    </row>
    <row r="798" spans="1:12">
      <c r="A798" s="183" t="s">
        <v>7016</v>
      </c>
      <c r="B798" s="183" t="s">
        <v>7017</v>
      </c>
      <c r="C798">
        <v>50220210</v>
      </c>
      <c r="D798">
        <v>41</v>
      </c>
      <c r="E798">
        <v>0</v>
      </c>
      <c r="F798">
        <v>0</v>
      </c>
      <c r="G798">
        <v>0</v>
      </c>
      <c r="H798">
        <v>41</v>
      </c>
      <c r="I798" s="183" t="s">
        <v>1098</v>
      </c>
      <c r="J798" s="183" t="s">
        <v>12052</v>
      </c>
      <c r="K798">
        <v>0</v>
      </c>
      <c r="L798">
        <v>41</v>
      </c>
    </row>
    <row r="799" spans="1:12">
      <c r="A799" s="183" t="s">
        <v>2708</v>
      </c>
      <c r="B799" s="183" t="s">
        <v>2709</v>
      </c>
      <c r="C799">
        <v>50220301</v>
      </c>
      <c r="D799">
        <v>43</v>
      </c>
      <c r="E799">
        <v>0</v>
      </c>
      <c r="F799">
        <v>0</v>
      </c>
      <c r="G799">
        <v>0</v>
      </c>
      <c r="H799">
        <v>43</v>
      </c>
      <c r="I799" s="183" t="s">
        <v>1098</v>
      </c>
      <c r="J799" s="183" t="s">
        <v>12061</v>
      </c>
      <c r="K799">
        <v>0</v>
      </c>
      <c r="L799">
        <v>43</v>
      </c>
    </row>
    <row r="800" spans="1:12">
      <c r="A800" s="183" t="s">
        <v>3016</v>
      </c>
      <c r="B800" s="183" t="s">
        <v>3017</v>
      </c>
      <c r="C800">
        <v>50220317</v>
      </c>
      <c r="D800">
        <v>34</v>
      </c>
      <c r="E800">
        <v>0</v>
      </c>
      <c r="F800">
        <v>0</v>
      </c>
      <c r="G800">
        <v>0</v>
      </c>
      <c r="H800">
        <v>34</v>
      </c>
      <c r="I800" s="183" t="s">
        <v>1098</v>
      </c>
      <c r="J800" s="183" t="s">
        <v>12061</v>
      </c>
      <c r="K800">
        <v>0</v>
      </c>
      <c r="L800">
        <v>34</v>
      </c>
    </row>
    <row r="801" spans="1:12">
      <c r="A801" s="183" t="s">
        <v>7168</v>
      </c>
      <c r="B801" s="183" t="s">
        <v>7169</v>
      </c>
      <c r="C801">
        <v>50220416</v>
      </c>
      <c r="D801">
        <v>15</v>
      </c>
      <c r="E801">
        <v>0</v>
      </c>
      <c r="F801">
        <v>0</v>
      </c>
      <c r="G801">
        <v>0</v>
      </c>
      <c r="H801">
        <v>15</v>
      </c>
      <c r="I801" s="183" t="s">
        <v>1098</v>
      </c>
      <c r="J801" s="183" t="s">
        <v>12060</v>
      </c>
      <c r="K801">
        <v>0</v>
      </c>
      <c r="L801">
        <v>15</v>
      </c>
    </row>
    <row r="802" spans="1:12">
      <c r="A802" s="183" t="s">
        <v>1733</v>
      </c>
      <c r="B802" s="183" t="s">
        <v>1734</v>
      </c>
      <c r="C802">
        <v>50221102</v>
      </c>
      <c r="D802">
        <v>49</v>
      </c>
      <c r="E802">
        <v>0</v>
      </c>
      <c r="F802">
        <v>0</v>
      </c>
      <c r="G802">
        <v>0</v>
      </c>
      <c r="H802">
        <v>49</v>
      </c>
      <c r="I802" s="183" t="s">
        <v>1098</v>
      </c>
      <c r="J802" s="183" t="s">
        <v>12057</v>
      </c>
      <c r="K802">
        <v>0</v>
      </c>
      <c r="L802">
        <v>49</v>
      </c>
    </row>
    <row r="803" spans="1:12">
      <c r="A803" s="183" t="s">
        <v>1579</v>
      </c>
      <c r="B803" s="183" t="s">
        <v>1580</v>
      </c>
      <c r="C803">
        <v>50221110</v>
      </c>
      <c r="D803">
        <v>42</v>
      </c>
      <c r="E803">
        <v>0</v>
      </c>
      <c r="F803">
        <v>0</v>
      </c>
      <c r="G803">
        <v>0</v>
      </c>
      <c r="H803">
        <v>42</v>
      </c>
      <c r="I803" s="183" t="s">
        <v>1098</v>
      </c>
      <c r="J803" s="183" t="s">
        <v>12059</v>
      </c>
      <c r="K803">
        <v>0</v>
      </c>
      <c r="L803">
        <v>42</v>
      </c>
    </row>
    <row r="804" spans="1:12">
      <c r="A804" s="183" t="s">
        <v>7024</v>
      </c>
      <c r="B804" s="183" t="s">
        <v>7025</v>
      </c>
      <c r="C804">
        <v>50221210</v>
      </c>
      <c r="D804">
        <v>29</v>
      </c>
      <c r="E804">
        <v>0</v>
      </c>
      <c r="F804">
        <v>0</v>
      </c>
      <c r="G804">
        <v>0</v>
      </c>
      <c r="H804">
        <v>29</v>
      </c>
      <c r="I804" s="183" t="s">
        <v>1098</v>
      </c>
      <c r="J804" s="183" t="s">
        <v>12055</v>
      </c>
      <c r="K804">
        <v>0</v>
      </c>
      <c r="L804">
        <v>29</v>
      </c>
    </row>
    <row r="805" spans="1:12">
      <c r="A805" s="183" t="s">
        <v>8432</v>
      </c>
      <c r="B805" s="183" t="s">
        <v>8433</v>
      </c>
      <c r="C805">
        <v>50221316</v>
      </c>
      <c r="D805">
        <v>47</v>
      </c>
      <c r="E805">
        <v>0</v>
      </c>
      <c r="F805">
        <v>0</v>
      </c>
      <c r="G805">
        <v>0</v>
      </c>
      <c r="H805">
        <v>47</v>
      </c>
      <c r="I805" s="183" t="s">
        <v>1098</v>
      </c>
      <c r="J805" s="183" t="s">
        <v>12054</v>
      </c>
      <c r="K805">
        <v>0</v>
      </c>
      <c r="L805">
        <v>47</v>
      </c>
    </row>
    <row r="806" spans="1:12">
      <c r="A806" s="183" t="s">
        <v>7147</v>
      </c>
      <c r="B806" s="183" t="s">
        <v>7148</v>
      </c>
      <c r="C806">
        <v>50221503</v>
      </c>
      <c r="D806">
        <v>27</v>
      </c>
      <c r="E806">
        <v>0</v>
      </c>
      <c r="F806">
        <v>0</v>
      </c>
      <c r="G806">
        <v>0</v>
      </c>
      <c r="H806">
        <v>27</v>
      </c>
      <c r="I806" s="183" t="s">
        <v>1098</v>
      </c>
      <c r="J806" s="183" t="s">
        <v>12058</v>
      </c>
      <c r="K806">
        <v>0</v>
      </c>
      <c r="L806">
        <v>27</v>
      </c>
    </row>
    <row r="807" spans="1:12">
      <c r="A807" s="183" t="s">
        <v>6998</v>
      </c>
      <c r="B807" s="183" t="s">
        <v>6999</v>
      </c>
      <c r="C807">
        <v>50222108</v>
      </c>
      <c r="D807">
        <v>51</v>
      </c>
      <c r="E807">
        <v>0</v>
      </c>
      <c r="F807">
        <v>0</v>
      </c>
      <c r="G807">
        <v>0</v>
      </c>
      <c r="H807">
        <v>51</v>
      </c>
      <c r="I807" s="183" t="s">
        <v>1098</v>
      </c>
      <c r="J807" s="183" t="s">
        <v>12054</v>
      </c>
      <c r="K807">
        <v>0</v>
      </c>
      <c r="L807">
        <v>51</v>
      </c>
    </row>
    <row r="808" spans="1:12">
      <c r="A808" s="183" t="s">
        <v>2057</v>
      </c>
      <c r="B808" s="183" t="s">
        <v>2058</v>
      </c>
      <c r="C808">
        <v>50222302</v>
      </c>
      <c r="D808">
        <v>49</v>
      </c>
      <c r="E808">
        <v>0</v>
      </c>
      <c r="F808">
        <v>0</v>
      </c>
      <c r="G808">
        <v>0</v>
      </c>
      <c r="H808">
        <v>49</v>
      </c>
      <c r="I808" s="183" t="s">
        <v>1098</v>
      </c>
      <c r="J808" s="183" t="s">
        <v>12057</v>
      </c>
      <c r="K808">
        <v>0</v>
      </c>
      <c r="L808">
        <v>49</v>
      </c>
    </row>
    <row r="809" spans="1:12">
      <c r="A809" s="183" t="s">
        <v>8278</v>
      </c>
      <c r="B809" s="183" t="s">
        <v>8279</v>
      </c>
      <c r="C809">
        <v>50208315</v>
      </c>
      <c r="D809">
        <v>49</v>
      </c>
      <c r="E809">
        <v>0</v>
      </c>
      <c r="F809">
        <v>0</v>
      </c>
      <c r="G809">
        <v>0</v>
      </c>
      <c r="H809">
        <v>49</v>
      </c>
      <c r="I809" s="183" t="s">
        <v>1098</v>
      </c>
      <c r="J809" s="183" t="s">
        <v>12057</v>
      </c>
      <c r="K809">
        <v>0</v>
      </c>
      <c r="L809">
        <v>49</v>
      </c>
    </row>
    <row r="810" spans="1:12">
      <c r="A810" s="183" t="s">
        <v>8503</v>
      </c>
      <c r="B810" s="183" t="s">
        <v>8504</v>
      </c>
      <c r="C810">
        <v>50209102</v>
      </c>
      <c r="D810">
        <v>71</v>
      </c>
      <c r="E810">
        <v>0</v>
      </c>
      <c r="F810">
        <v>0</v>
      </c>
      <c r="G810">
        <v>0</v>
      </c>
      <c r="H810">
        <v>71</v>
      </c>
      <c r="I810" s="183" t="s">
        <v>1098</v>
      </c>
      <c r="J810" s="183" t="s">
        <v>12056</v>
      </c>
      <c r="K810">
        <v>0</v>
      </c>
      <c r="L810">
        <v>71</v>
      </c>
    </row>
    <row r="811" spans="1:12">
      <c r="A811" s="183" t="s">
        <v>8276</v>
      </c>
      <c r="B811" s="183" t="s">
        <v>8277</v>
      </c>
      <c r="C811">
        <v>50209110</v>
      </c>
      <c r="D811">
        <v>36</v>
      </c>
      <c r="E811">
        <v>0</v>
      </c>
      <c r="F811">
        <v>0</v>
      </c>
      <c r="G811">
        <v>0</v>
      </c>
      <c r="H811">
        <v>36</v>
      </c>
      <c r="I811" s="183" t="s">
        <v>1098</v>
      </c>
      <c r="J811" s="183" t="s">
        <v>12056</v>
      </c>
      <c r="K811">
        <v>0</v>
      </c>
      <c r="L811">
        <v>36</v>
      </c>
    </row>
    <row r="812" spans="1:12">
      <c r="A812" s="183" t="s">
        <v>8091</v>
      </c>
      <c r="B812" s="183" t="s">
        <v>8092</v>
      </c>
      <c r="C812">
        <v>50209217</v>
      </c>
      <c r="D812">
        <v>73</v>
      </c>
      <c r="E812">
        <v>0</v>
      </c>
      <c r="F812">
        <v>0</v>
      </c>
      <c r="G812">
        <v>0</v>
      </c>
      <c r="H812">
        <v>73</v>
      </c>
      <c r="I812" s="183" t="s">
        <v>1098</v>
      </c>
      <c r="J812" s="183" t="s">
        <v>12056</v>
      </c>
      <c r="K812">
        <v>0</v>
      </c>
      <c r="L812">
        <v>73</v>
      </c>
    </row>
    <row r="813" spans="1:12">
      <c r="A813" s="183" t="s">
        <v>8039</v>
      </c>
      <c r="B813" s="183" t="s">
        <v>8040</v>
      </c>
      <c r="C813">
        <v>50209317</v>
      </c>
      <c r="D813">
        <v>48</v>
      </c>
      <c r="E813">
        <v>0</v>
      </c>
      <c r="F813">
        <v>0</v>
      </c>
      <c r="G813">
        <v>0</v>
      </c>
      <c r="H813">
        <v>48</v>
      </c>
      <c r="I813" s="183" t="s">
        <v>1098</v>
      </c>
      <c r="J813" s="183" t="s">
        <v>12052</v>
      </c>
      <c r="K813">
        <v>0</v>
      </c>
      <c r="L813">
        <v>48</v>
      </c>
    </row>
    <row r="814" spans="1:12">
      <c r="A814" s="183" t="s">
        <v>7203</v>
      </c>
      <c r="B814" s="183" t="s">
        <v>7204</v>
      </c>
      <c r="C814">
        <v>50209503</v>
      </c>
      <c r="D814">
        <v>18</v>
      </c>
      <c r="E814">
        <v>0</v>
      </c>
      <c r="F814">
        <v>0</v>
      </c>
      <c r="G814">
        <v>0</v>
      </c>
      <c r="H814">
        <v>18</v>
      </c>
      <c r="I814" s="183" t="s">
        <v>1098</v>
      </c>
      <c r="J814" s="183" t="s">
        <v>12054</v>
      </c>
      <c r="K814">
        <v>0</v>
      </c>
      <c r="L814">
        <v>18</v>
      </c>
    </row>
    <row r="815" spans="1:12">
      <c r="A815" s="183" t="s">
        <v>1806</v>
      </c>
      <c r="B815" s="183" t="s">
        <v>1807</v>
      </c>
      <c r="C815">
        <v>50210110</v>
      </c>
      <c r="D815">
        <v>50</v>
      </c>
      <c r="E815">
        <v>0</v>
      </c>
      <c r="F815">
        <v>0</v>
      </c>
      <c r="G815">
        <v>0</v>
      </c>
      <c r="H815">
        <v>50</v>
      </c>
      <c r="I815" s="183" t="s">
        <v>1098</v>
      </c>
      <c r="J815" s="183" t="s">
        <v>12058</v>
      </c>
      <c r="K815">
        <v>0</v>
      </c>
      <c r="L815">
        <v>50</v>
      </c>
    </row>
    <row r="816" spans="1:12">
      <c r="A816" s="183" t="s">
        <v>1800</v>
      </c>
      <c r="B816" s="183" t="s">
        <v>1801</v>
      </c>
      <c r="C816">
        <v>50210402</v>
      </c>
      <c r="D816">
        <v>47</v>
      </c>
      <c r="E816">
        <v>0</v>
      </c>
      <c r="F816">
        <v>0</v>
      </c>
      <c r="G816">
        <v>0</v>
      </c>
      <c r="H816">
        <v>47</v>
      </c>
      <c r="I816" s="183" t="s">
        <v>1098</v>
      </c>
      <c r="J816" s="183" t="s">
        <v>12066</v>
      </c>
      <c r="K816">
        <v>0</v>
      </c>
      <c r="L816">
        <v>47</v>
      </c>
    </row>
    <row r="817" spans="1:12">
      <c r="A817" s="183" t="s">
        <v>8083</v>
      </c>
      <c r="B817" s="183" t="s">
        <v>8084</v>
      </c>
      <c r="C817">
        <v>50211117</v>
      </c>
      <c r="D817">
        <v>49</v>
      </c>
      <c r="E817">
        <v>0</v>
      </c>
      <c r="F817">
        <v>0</v>
      </c>
      <c r="G817">
        <v>0</v>
      </c>
      <c r="H817">
        <v>49</v>
      </c>
      <c r="I817" s="183" t="s">
        <v>1098</v>
      </c>
      <c r="J817" s="183" t="s">
        <v>12061</v>
      </c>
      <c r="K817">
        <v>0</v>
      </c>
      <c r="L817">
        <v>49</v>
      </c>
    </row>
    <row r="818" spans="1:12">
      <c r="A818" s="183" t="s">
        <v>2281</v>
      </c>
      <c r="B818" s="183" t="s">
        <v>2282</v>
      </c>
      <c r="C818">
        <v>50212510</v>
      </c>
      <c r="D818">
        <v>77</v>
      </c>
      <c r="E818">
        <v>0</v>
      </c>
      <c r="F818">
        <v>0</v>
      </c>
      <c r="G818">
        <v>0</v>
      </c>
      <c r="H818">
        <v>77</v>
      </c>
      <c r="I818" s="183" t="s">
        <v>1098</v>
      </c>
      <c r="J818" s="183" t="s">
        <v>12059</v>
      </c>
      <c r="K818">
        <v>0</v>
      </c>
      <c r="L818">
        <v>77</v>
      </c>
    </row>
    <row r="819" spans="1:12">
      <c r="A819" s="183" t="s">
        <v>8093</v>
      </c>
      <c r="B819" s="183" t="s">
        <v>8094</v>
      </c>
      <c r="C819">
        <v>50213317</v>
      </c>
      <c r="D819">
        <v>37</v>
      </c>
      <c r="E819">
        <v>0</v>
      </c>
      <c r="F819">
        <v>0</v>
      </c>
      <c r="G819">
        <v>0</v>
      </c>
      <c r="H819">
        <v>37</v>
      </c>
      <c r="I819" s="183" t="s">
        <v>1098</v>
      </c>
      <c r="J819" s="183" t="s">
        <v>12066</v>
      </c>
      <c r="K819">
        <v>0</v>
      </c>
      <c r="L819">
        <v>37</v>
      </c>
    </row>
    <row r="820" spans="1:12">
      <c r="A820" s="183" t="s">
        <v>1785</v>
      </c>
      <c r="B820" s="183" t="s">
        <v>1786</v>
      </c>
      <c r="C820">
        <v>50214210</v>
      </c>
      <c r="D820">
        <v>50</v>
      </c>
      <c r="E820">
        <v>0</v>
      </c>
      <c r="F820">
        <v>0</v>
      </c>
      <c r="G820">
        <v>0</v>
      </c>
      <c r="H820">
        <v>50</v>
      </c>
      <c r="I820" s="183" t="s">
        <v>1098</v>
      </c>
      <c r="J820" s="183" t="s">
        <v>12067</v>
      </c>
      <c r="K820">
        <v>0</v>
      </c>
      <c r="L820">
        <v>50</v>
      </c>
    </row>
    <row r="821" spans="1:12">
      <c r="A821" s="183" t="s">
        <v>1970</v>
      </c>
      <c r="B821" s="183" t="s">
        <v>1971</v>
      </c>
      <c r="C821">
        <v>50214215</v>
      </c>
      <c r="D821">
        <v>49</v>
      </c>
      <c r="E821">
        <v>0</v>
      </c>
      <c r="F821">
        <v>0</v>
      </c>
      <c r="G821">
        <v>0</v>
      </c>
      <c r="H821">
        <v>49</v>
      </c>
      <c r="I821" s="183" t="s">
        <v>1098</v>
      </c>
      <c r="J821" s="183" t="s">
        <v>12067</v>
      </c>
      <c r="K821">
        <v>0</v>
      </c>
      <c r="L821">
        <v>49</v>
      </c>
    </row>
    <row r="822" spans="1:12">
      <c r="A822" s="183" t="s">
        <v>8053</v>
      </c>
      <c r="B822" s="183" t="s">
        <v>8054</v>
      </c>
      <c r="C822">
        <v>50214317</v>
      </c>
      <c r="D822">
        <v>41</v>
      </c>
      <c r="E822">
        <v>0</v>
      </c>
      <c r="F822">
        <v>0</v>
      </c>
      <c r="G822">
        <v>0</v>
      </c>
      <c r="H822">
        <v>41</v>
      </c>
      <c r="I822" s="183" t="s">
        <v>1098</v>
      </c>
      <c r="J822" s="183" t="s">
        <v>12066</v>
      </c>
      <c r="K822">
        <v>0</v>
      </c>
      <c r="L822">
        <v>41</v>
      </c>
    </row>
    <row r="823" spans="1:12">
      <c r="A823" s="183" t="s">
        <v>8368</v>
      </c>
      <c r="B823" s="183" t="s">
        <v>8369</v>
      </c>
      <c r="C823">
        <v>50215116</v>
      </c>
      <c r="D823">
        <v>41</v>
      </c>
      <c r="E823">
        <v>0</v>
      </c>
      <c r="F823">
        <v>0</v>
      </c>
      <c r="G823">
        <v>0</v>
      </c>
      <c r="H823">
        <v>41</v>
      </c>
      <c r="I823" s="183" t="s">
        <v>1098</v>
      </c>
      <c r="J823" s="183" t="s">
        <v>12052</v>
      </c>
      <c r="K823">
        <v>0</v>
      </c>
      <c r="L823">
        <v>41</v>
      </c>
    </row>
    <row r="824" spans="1:12">
      <c r="A824" s="183" t="s">
        <v>7995</v>
      </c>
      <c r="B824" s="183" t="s">
        <v>7996</v>
      </c>
      <c r="C824">
        <v>50215317</v>
      </c>
      <c r="D824">
        <v>33</v>
      </c>
      <c r="E824">
        <v>0</v>
      </c>
      <c r="F824">
        <v>0</v>
      </c>
      <c r="G824">
        <v>0</v>
      </c>
      <c r="H824">
        <v>33</v>
      </c>
      <c r="I824" s="183" t="s">
        <v>1098</v>
      </c>
      <c r="J824" s="183" t="s">
        <v>12057</v>
      </c>
      <c r="K824">
        <v>0</v>
      </c>
      <c r="L824">
        <v>33</v>
      </c>
    </row>
    <row r="825" spans="1:12">
      <c r="A825" s="183" t="s">
        <v>1462</v>
      </c>
      <c r="B825" s="183" t="s">
        <v>1463</v>
      </c>
      <c r="C825">
        <v>50216202</v>
      </c>
      <c r="D825">
        <v>42</v>
      </c>
      <c r="E825">
        <v>0</v>
      </c>
      <c r="F825">
        <v>0</v>
      </c>
      <c r="G825">
        <v>0</v>
      </c>
      <c r="H825">
        <v>42</v>
      </c>
      <c r="I825" s="183" t="s">
        <v>1098</v>
      </c>
      <c r="J825" s="183" t="s">
        <v>12055</v>
      </c>
      <c r="K825">
        <v>0</v>
      </c>
      <c r="L825">
        <v>42</v>
      </c>
    </row>
    <row r="826" spans="1:12">
      <c r="A826" s="183" t="s">
        <v>1344</v>
      </c>
      <c r="B826" s="183" t="s">
        <v>1345</v>
      </c>
      <c r="C826">
        <v>50216415</v>
      </c>
      <c r="D826">
        <v>50</v>
      </c>
      <c r="E826">
        <v>0</v>
      </c>
      <c r="F826">
        <v>0</v>
      </c>
      <c r="G826">
        <v>0</v>
      </c>
      <c r="H826">
        <v>50</v>
      </c>
      <c r="I826" s="183" t="s">
        <v>1098</v>
      </c>
      <c r="J826" s="183" t="s">
        <v>12053</v>
      </c>
      <c r="K826">
        <v>0</v>
      </c>
      <c r="L826">
        <v>50</v>
      </c>
    </row>
    <row r="827" spans="1:12">
      <c r="A827" s="183" t="s">
        <v>1448</v>
      </c>
      <c r="B827" s="183" t="s">
        <v>1449</v>
      </c>
      <c r="C827">
        <v>50217102</v>
      </c>
      <c r="D827">
        <v>50</v>
      </c>
      <c r="E827">
        <v>0</v>
      </c>
      <c r="F827">
        <v>0</v>
      </c>
      <c r="G827">
        <v>0</v>
      </c>
      <c r="H827">
        <v>50</v>
      </c>
      <c r="I827" s="183" t="s">
        <v>1098</v>
      </c>
      <c r="J827" s="183" t="s">
        <v>12053</v>
      </c>
      <c r="K827">
        <v>0</v>
      </c>
      <c r="L827">
        <v>50</v>
      </c>
    </row>
    <row r="828" spans="1:12">
      <c r="A828" s="183" t="s">
        <v>8517</v>
      </c>
      <c r="B828" s="183" t="s">
        <v>8518</v>
      </c>
      <c r="C828">
        <v>50217202</v>
      </c>
      <c r="D828">
        <v>49</v>
      </c>
      <c r="E828">
        <v>0</v>
      </c>
      <c r="F828">
        <v>0</v>
      </c>
      <c r="G828">
        <v>0</v>
      </c>
      <c r="H828">
        <v>49</v>
      </c>
      <c r="I828" s="183" t="s">
        <v>1098</v>
      </c>
      <c r="J828" s="183" t="s">
        <v>12053</v>
      </c>
      <c r="K828">
        <v>0</v>
      </c>
      <c r="L828">
        <v>49</v>
      </c>
    </row>
    <row r="829" spans="1:12">
      <c r="A829" s="183" t="s">
        <v>1641</v>
      </c>
      <c r="B829" s="183" t="s">
        <v>1642</v>
      </c>
      <c r="C829">
        <v>50217217</v>
      </c>
      <c r="D829">
        <v>28</v>
      </c>
      <c r="E829">
        <v>0</v>
      </c>
      <c r="F829">
        <v>0</v>
      </c>
      <c r="G829">
        <v>0</v>
      </c>
      <c r="H829">
        <v>28</v>
      </c>
      <c r="I829" s="183" t="s">
        <v>1098</v>
      </c>
      <c r="J829" s="183" t="s">
        <v>12060</v>
      </c>
      <c r="K829">
        <v>0</v>
      </c>
      <c r="L829">
        <v>28</v>
      </c>
    </row>
    <row r="830" spans="1:12">
      <c r="A830" s="183" t="s">
        <v>8422</v>
      </c>
      <c r="B830" s="183" t="s">
        <v>8423</v>
      </c>
      <c r="C830">
        <v>50217316</v>
      </c>
      <c r="D830">
        <v>49</v>
      </c>
      <c r="E830">
        <v>0</v>
      </c>
      <c r="F830">
        <v>0</v>
      </c>
      <c r="G830">
        <v>0</v>
      </c>
      <c r="H830">
        <v>49</v>
      </c>
      <c r="I830" s="183" t="s">
        <v>1098</v>
      </c>
      <c r="J830" s="183" t="s">
        <v>12058</v>
      </c>
      <c r="K830">
        <v>0</v>
      </c>
      <c r="L830">
        <v>49</v>
      </c>
    </row>
    <row r="831" spans="1:12">
      <c r="A831" s="183" t="s">
        <v>2146</v>
      </c>
      <c r="B831" s="183" t="s">
        <v>2147</v>
      </c>
      <c r="C831">
        <v>50217402</v>
      </c>
      <c r="D831">
        <v>49</v>
      </c>
      <c r="E831">
        <v>0</v>
      </c>
      <c r="F831">
        <v>0</v>
      </c>
      <c r="G831">
        <v>0</v>
      </c>
      <c r="H831">
        <v>49</v>
      </c>
      <c r="I831" s="183" t="s">
        <v>1098</v>
      </c>
      <c r="J831" s="183" t="s">
        <v>12058</v>
      </c>
      <c r="K831">
        <v>0</v>
      </c>
      <c r="L831">
        <v>49</v>
      </c>
    </row>
    <row r="832" spans="1:12">
      <c r="A832" s="183" t="s">
        <v>8501</v>
      </c>
      <c r="B832" s="183" t="s">
        <v>8502</v>
      </c>
      <c r="C832">
        <v>50218110</v>
      </c>
      <c r="D832">
        <v>51</v>
      </c>
      <c r="E832">
        <v>0</v>
      </c>
      <c r="F832">
        <v>0</v>
      </c>
      <c r="G832">
        <v>0</v>
      </c>
      <c r="H832">
        <v>51</v>
      </c>
      <c r="I832" s="183" t="s">
        <v>1098</v>
      </c>
      <c r="J832" s="183" t="s">
        <v>12057</v>
      </c>
      <c r="K832">
        <v>0</v>
      </c>
      <c r="L832">
        <v>51</v>
      </c>
    </row>
    <row r="833" spans="1:12">
      <c r="A833" s="183" t="s">
        <v>2294</v>
      </c>
      <c r="B833" s="183" t="s">
        <v>2295</v>
      </c>
      <c r="C833">
        <v>50218116</v>
      </c>
      <c r="D833">
        <v>41</v>
      </c>
      <c r="E833">
        <v>0</v>
      </c>
      <c r="F833">
        <v>0</v>
      </c>
      <c r="G833">
        <v>0</v>
      </c>
      <c r="H833">
        <v>41</v>
      </c>
      <c r="I833" s="183" t="s">
        <v>1098</v>
      </c>
      <c r="J833" s="183" t="s">
        <v>12056</v>
      </c>
      <c r="K833">
        <v>0</v>
      </c>
      <c r="L833">
        <v>41</v>
      </c>
    </row>
    <row r="834" spans="1:12">
      <c r="A834" s="183" t="s">
        <v>2659</v>
      </c>
      <c r="B834" s="183" t="s">
        <v>2660</v>
      </c>
      <c r="C834">
        <v>50218201</v>
      </c>
      <c r="D834">
        <v>46</v>
      </c>
      <c r="E834">
        <v>0</v>
      </c>
      <c r="F834">
        <v>0</v>
      </c>
      <c r="G834">
        <v>0</v>
      </c>
      <c r="H834">
        <v>46</v>
      </c>
      <c r="I834" s="183" t="s">
        <v>1098</v>
      </c>
      <c r="J834" s="183" t="s">
        <v>12054</v>
      </c>
      <c r="K834">
        <v>0</v>
      </c>
      <c r="L834">
        <v>46</v>
      </c>
    </row>
    <row r="835" spans="1:12">
      <c r="A835" s="183" t="s">
        <v>1256</v>
      </c>
      <c r="B835" s="183" t="s">
        <v>1257</v>
      </c>
      <c r="C835">
        <v>50218203</v>
      </c>
      <c r="D835">
        <v>42</v>
      </c>
      <c r="E835">
        <v>0</v>
      </c>
      <c r="F835">
        <v>0</v>
      </c>
      <c r="G835">
        <v>0</v>
      </c>
      <c r="H835">
        <v>42</v>
      </c>
      <c r="I835" s="183" t="s">
        <v>1098</v>
      </c>
      <c r="J835" s="183" t="s">
        <v>12059</v>
      </c>
      <c r="K835">
        <v>0</v>
      </c>
      <c r="L835">
        <v>42</v>
      </c>
    </row>
    <row r="836" spans="1:12">
      <c r="A836" s="183" t="s">
        <v>1250</v>
      </c>
      <c r="B836" s="183" t="s">
        <v>1251</v>
      </c>
      <c r="C836">
        <v>50218210</v>
      </c>
      <c r="D836">
        <v>50</v>
      </c>
      <c r="E836">
        <v>0</v>
      </c>
      <c r="F836">
        <v>0</v>
      </c>
      <c r="G836">
        <v>0</v>
      </c>
      <c r="H836">
        <v>50</v>
      </c>
      <c r="I836" s="183" t="s">
        <v>1098</v>
      </c>
      <c r="J836" s="183" t="s">
        <v>12061</v>
      </c>
      <c r="K836">
        <v>0</v>
      </c>
      <c r="L836">
        <v>50</v>
      </c>
    </row>
    <row r="837" spans="1:12">
      <c r="A837" s="183" t="s">
        <v>8922</v>
      </c>
      <c r="B837" s="183" t="s">
        <v>8923</v>
      </c>
      <c r="C837">
        <v>50218310</v>
      </c>
      <c r="D837">
        <v>50</v>
      </c>
      <c r="E837">
        <v>0</v>
      </c>
      <c r="F837">
        <v>0</v>
      </c>
      <c r="G837">
        <v>0</v>
      </c>
      <c r="H837">
        <v>50</v>
      </c>
      <c r="I837" s="183" t="s">
        <v>1098</v>
      </c>
      <c r="J837" s="183" t="s">
        <v>12050</v>
      </c>
      <c r="K837">
        <v>0</v>
      </c>
      <c r="L837">
        <v>50</v>
      </c>
    </row>
    <row r="838" spans="1:12">
      <c r="A838" s="183" t="s">
        <v>8011</v>
      </c>
      <c r="B838" s="183" t="s">
        <v>8012</v>
      </c>
      <c r="C838">
        <v>50218317</v>
      </c>
      <c r="D838">
        <v>50</v>
      </c>
      <c r="E838">
        <v>0</v>
      </c>
      <c r="F838">
        <v>0</v>
      </c>
      <c r="G838">
        <v>0</v>
      </c>
      <c r="H838">
        <v>50</v>
      </c>
      <c r="I838" s="183" t="s">
        <v>1098</v>
      </c>
      <c r="J838" s="183" t="s">
        <v>12055</v>
      </c>
      <c r="K838">
        <v>0</v>
      </c>
      <c r="L838">
        <v>50</v>
      </c>
    </row>
    <row r="839" spans="1:12">
      <c r="A839" s="183" t="s">
        <v>1628</v>
      </c>
      <c r="B839" s="183" t="s">
        <v>1629</v>
      </c>
      <c r="C839">
        <v>50218402</v>
      </c>
      <c r="D839">
        <v>49</v>
      </c>
      <c r="E839">
        <v>0</v>
      </c>
      <c r="F839">
        <v>0</v>
      </c>
      <c r="G839">
        <v>0</v>
      </c>
      <c r="H839">
        <v>49</v>
      </c>
      <c r="I839" s="183" t="s">
        <v>1098</v>
      </c>
      <c r="J839" s="183" t="s">
        <v>12061</v>
      </c>
      <c r="K839">
        <v>0</v>
      </c>
      <c r="L839">
        <v>49</v>
      </c>
    </row>
    <row r="840" spans="1:12">
      <c r="A840" s="183" t="s">
        <v>1320</v>
      </c>
      <c r="B840" s="183" t="s">
        <v>1321</v>
      </c>
      <c r="C840">
        <v>50218508</v>
      </c>
      <c r="D840">
        <v>15</v>
      </c>
      <c r="E840">
        <v>0</v>
      </c>
      <c r="F840">
        <v>0</v>
      </c>
      <c r="G840">
        <v>0</v>
      </c>
      <c r="H840">
        <v>15</v>
      </c>
      <c r="I840" s="183" t="s">
        <v>1098</v>
      </c>
      <c r="J840" s="183" t="s">
        <v>12057</v>
      </c>
      <c r="K840">
        <v>0</v>
      </c>
      <c r="L840">
        <v>15</v>
      </c>
    </row>
    <row r="841" spans="1:12">
      <c r="A841" s="183" t="s">
        <v>2287</v>
      </c>
      <c r="B841" s="183" t="s">
        <v>2288</v>
      </c>
      <c r="C841">
        <v>50218516</v>
      </c>
      <c r="D841">
        <v>39</v>
      </c>
      <c r="E841">
        <v>0</v>
      </c>
      <c r="F841">
        <v>0</v>
      </c>
      <c r="G841">
        <v>0</v>
      </c>
      <c r="H841">
        <v>39</v>
      </c>
      <c r="I841" s="183" t="s">
        <v>1098</v>
      </c>
      <c r="J841" s="183" t="s">
        <v>12054</v>
      </c>
      <c r="K841">
        <v>0</v>
      </c>
      <c r="L841">
        <v>39</v>
      </c>
    </row>
    <row r="842" spans="1:12">
      <c r="A842" s="183" t="s">
        <v>8519</v>
      </c>
      <c r="B842" s="183" t="s">
        <v>8520</v>
      </c>
      <c r="C842">
        <v>50219116</v>
      </c>
      <c r="D842">
        <v>34</v>
      </c>
      <c r="E842">
        <v>0</v>
      </c>
      <c r="F842">
        <v>0</v>
      </c>
      <c r="G842">
        <v>0</v>
      </c>
      <c r="H842">
        <v>34</v>
      </c>
      <c r="I842" s="183" t="s">
        <v>1098</v>
      </c>
      <c r="J842" s="183" t="s">
        <v>12055</v>
      </c>
      <c r="K842">
        <v>0</v>
      </c>
      <c r="L842">
        <v>34</v>
      </c>
    </row>
    <row r="843" spans="1:12">
      <c r="A843" s="183" t="s">
        <v>2296</v>
      </c>
      <c r="B843" s="183" t="s">
        <v>2297</v>
      </c>
      <c r="C843">
        <v>50219217</v>
      </c>
      <c r="D843">
        <v>25</v>
      </c>
      <c r="E843">
        <v>0</v>
      </c>
      <c r="F843">
        <v>0</v>
      </c>
      <c r="G843">
        <v>0</v>
      </c>
      <c r="H843">
        <v>25</v>
      </c>
      <c r="I843" s="183" t="s">
        <v>1098</v>
      </c>
      <c r="J843" s="183" t="s">
        <v>12054</v>
      </c>
      <c r="K843">
        <v>0</v>
      </c>
      <c r="L843">
        <v>25</v>
      </c>
    </row>
    <row r="844" spans="1:12">
      <c r="A844" s="183" t="s">
        <v>8420</v>
      </c>
      <c r="B844" s="183" t="s">
        <v>8421</v>
      </c>
      <c r="C844">
        <v>50219316</v>
      </c>
      <c r="D844">
        <v>50</v>
      </c>
      <c r="E844">
        <v>0</v>
      </c>
      <c r="F844">
        <v>0</v>
      </c>
      <c r="G844">
        <v>0</v>
      </c>
      <c r="H844">
        <v>50</v>
      </c>
      <c r="I844" s="183" t="s">
        <v>1098</v>
      </c>
      <c r="J844" s="183" t="s">
        <v>12057</v>
      </c>
      <c r="K844">
        <v>0</v>
      </c>
      <c r="L844">
        <v>50</v>
      </c>
    </row>
    <row r="845" spans="1:12">
      <c r="A845" s="183" t="s">
        <v>8539</v>
      </c>
      <c r="B845" s="183" t="s">
        <v>8540</v>
      </c>
      <c r="C845">
        <v>50219417</v>
      </c>
      <c r="D845">
        <v>61</v>
      </c>
      <c r="E845">
        <v>0</v>
      </c>
      <c r="F845">
        <v>0</v>
      </c>
      <c r="G845">
        <v>0</v>
      </c>
      <c r="H845">
        <v>61</v>
      </c>
      <c r="I845" s="183" t="s">
        <v>1098</v>
      </c>
      <c r="J845" s="183" t="s">
        <v>12056</v>
      </c>
      <c r="K845">
        <v>0</v>
      </c>
      <c r="L845">
        <v>61</v>
      </c>
    </row>
    <row r="846" spans="1:12">
      <c r="A846" s="183" t="s">
        <v>7209</v>
      </c>
      <c r="B846" s="183" t="s">
        <v>7210</v>
      </c>
      <c r="C846">
        <v>50219510</v>
      </c>
      <c r="D846">
        <v>18</v>
      </c>
      <c r="E846">
        <v>0</v>
      </c>
      <c r="F846">
        <v>0</v>
      </c>
      <c r="G846">
        <v>0</v>
      </c>
      <c r="H846">
        <v>18</v>
      </c>
      <c r="I846" s="183" t="s">
        <v>1098</v>
      </c>
      <c r="J846" s="183" t="s">
        <v>12057</v>
      </c>
      <c r="K846">
        <v>0</v>
      </c>
      <c r="L846">
        <v>18</v>
      </c>
    </row>
    <row r="847" spans="1:12">
      <c r="A847" s="183" t="s">
        <v>1630</v>
      </c>
      <c r="B847" s="183" t="s">
        <v>1631</v>
      </c>
      <c r="C847">
        <v>50220110</v>
      </c>
      <c r="D847">
        <v>49</v>
      </c>
      <c r="E847">
        <v>0</v>
      </c>
      <c r="F847">
        <v>0</v>
      </c>
      <c r="G847">
        <v>0</v>
      </c>
      <c r="H847">
        <v>49</v>
      </c>
      <c r="I847" s="183" t="s">
        <v>1098</v>
      </c>
      <c r="J847" s="183" t="s">
        <v>12061</v>
      </c>
      <c r="K847">
        <v>0</v>
      </c>
      <c r="L847">
        <v>49</v>
      </c>
    </row>
    <row r="848" spans="1:12">
      <c r="A848" s="183" t="s">
        <v>2663</v>
      </c>
      <c r="B848" s="183" t="s">
        <v>2664</v>
      </c>
      <c r="C848">
        <v>50220216</v>
      </c>
      <c r="D848">
        <v>44</v>
      </c>
      <c r="E848">
        <v>0</v>
      </c>
      <c r="F848">
        <v>0</v>
      </c>
      <c r="G848">
        <v>0</v>
      </c>
      <c r="H848">
        <v>44</v>
      </c>
      <c r="I848" s="183" t="s">
        <v>1098</v>
      </c>
      <c r="J848" s="183" t="s">
        <v>12052</v>
      </c>
      <c r="K848">
        <v>0</v>
      </c>
      <c r="L848">
        <v>44</v>
      </c>
    </row>
    <row r="849" spans="1:12">
      <c r="A849" s="183" t="s">
        <v>8272</v>
      </c>
      <c r="B849" s="183" t="s">
        <v>8273</v>
      </c>
      <c r="C849">
        <v>50220417</v>
      </c>
      <c r="D849">
        <v>61</v>
      </c>
      <c r="E849">
        <v>0</v>
      </c>
      <c r="F849">
        <v>0</v>
      </c>
      <c r="G849">
        <v>0</v>
      </c>
      <c r="H849">
        <v>61</v>
      </c>
      <c r="I849" s="183" t="s">
        <v>1098</v>
      </c>
      <c r="J849" s="183" t="s">
        <v>12058</v>
      </c>
      <c r="K849">
        <v>0</v>
      </c>
      <c r="L849">
        <v>61</v>
      </c>
    </row>
    <row r="850" spans="1:12">
      <c r="A850" s="183" t="s">
        <v>1632</v>
      </c>
      <c r="B850" s="183" t="s">
        <v>1633</v>
      </c>
      <c r="C850">
        <v>50221301</v>
      </c>
      <c r="D850">
        <v>48</v>
      </c>
      <c r="E850">
        <v>0</v>
      </c>
      <c r="F850">
        <v>0</v>
      </c>
      <c r="G850">
        <v>0</v>
      </c>
      <c r="H850">
        <v>48</v>
      </c>
      <c r="I850" s="183" t="s">
        <v>1098</v>
      </c>
      <c r="J850" s="183" t="s">
        <v>12052</v>
      </c>
      <c r="K850">
        <v>0</v>
      </c>
      <c r="L850">
        <v>48</v>
      </c>
    </row>
    <row r="851" spans="1:12">
      <c r="A851" s="183" t="s">
        <v>1639</v>
      </c>
      <c r="B851" s="183" t="s">
        <v>1640</v>
      </c>
      <c r="C851">
        <v>50221308</v>
      </c>
      <c r="D851">
        <v>36</v>
      </c>
      <c r="E851">
        <v>0</v>
      </c>
      <c r="F851">
        <v>0</v>
      </c>
      <c r="G851">
        <v>0</v>
      </c>
      <c r="H851">
        <v>36</v>
      </c>
      <c r="I851" s="183" t="s">
        <v>1098</v>
      </c>
      <c r="J851" s="183" t="s">
        <v>12055</v>
      </c>
      <c r="K851">
        <v>0</v>
      </c>
      <c r="L851">
        <v>36</v>
      </c>
    </row>
    <row r="852" spans="1:12">
      <c r="A852" s="183" t="s">
        <v>2451</v>
      </c>
      <c r="B852" s="183" t="s">
        <v>2452</v>
      </c>
      <c r="C852">
        <v>50222101</v>
      </c>
      <c r="D852">
        <v>64</v>
      </c>
      <c r="E852">
        <v>0</v>
      </c>
      <c r="F852">
        <v>0</v>
      </c>
      <c r="G852">
        <v>0</v>
      </c>
      <c r="H852">
        <v>64</v>
      </c>
      <c r="I852" s="183" t="s">
        <v>1098</v>
      </c>
      <c r="J852" s="183" t="s">
        <v>12054</v>
      </c>
      <c r="K852">
        <v>0</v>
      </c>
      <c r="L852">
        <v>64</v>
      </c>
    </row>
    <row r="853" spans="1:12">
      <c r="A853" s="183" t="s">
        <v>8196</v>
      </c>
      <c r="B853" s="183" t="s">
        <v>8197</v>
      </c>
      <c r="C853">
        <v>50211315</v>
      </c>
      <c r="D853">
        <v>49</v>
      </c>
      <c r="E853">
        <v>0</v>
      </c>
      <c r="F853">
        <v>0</v>
      </c>
      <c r="G853">
        <v>0</v>
      </c>
      <c r="H853">
        <v>49</v>
      </c>
      <c r="I853" s="183" t="s">
        <v>1098</v>
      </c>
      <c r="J853" s="183" t="s">
        <v>12066</v>
      </c>
      <c r="K853">
        <v>0</v>
      </c>
      <c r="L853">
        <v>49</v>
      </c>
    </row>
    <row r="854" spans="1:12">
      <c r="A854" s="183" t="s">
        <v>5082</v>
      </c>
      <c r="B854" s="183" t="s">
        <v>5083</v>
      </c>
      <c r="C854">
        <v>50211415</v>
      </c>
      <c r="D854">
        <v>50</v>
      </c>
      <c r="E854">
        <v>0</v>
      </c>
      <c r="F854">
        <v>0</v>
      </c>
      <c r="G854">
        <v>0</v>
      </c>
      <c r="H854">
        <v>50</v>
      </c>
      <c r="I854" s="183" t="s">
        <v>1098</v>
      </c>
      <c r="J854" s="183" t="s">
        <v>12063</v>
      </c>
      <c r="K854">
        <v>0</v>
      </c>
      <c r="L854">
        <v>50</v>
      </c>
    </row>
    <row r="855" spans="1:12">
      <c r="A855" s="183" t="s">
        <v>8336</v>
      </c>
      <c r="B855" s="183" t="s">
        <v>8337</v>
      </c>
      <c r="C855">
        <v>50211517</v>
      </c>
      <c r="D855">
        <v>25</v>
      </c>
      <c r="E855">
        <v>0</v>
      </c>
      <c r="F855">
        <v>0</v>
      </c>
      <c r="G855">
        <v>0</v>
      </c>
      <c r="H855">
        <v>25</v>
      </c>
      <c r="I855" s="183" t="s">
        <v>1098</v>
      </c>
      <c r="J855" s="183" t="s">
        <v>12052</v>
      </c>
      <c r="K855">
        <v>0</v>
      </c>
      <c r="L855">
        <v>25</v>
      </c>
    </row>
    <row r="856" spans="1:12">
      <c r="A856" s="183" t="s">
        <v>2771</v>
      </c>
      <c r="B856" s="183" t="s">
        <v>2772</v>
      </c>
      <c r="C856">
        <v>50212116</v>
      </c>
      <c r="D856">
        <v>43</v>
      </c>
      <c r="E856">
        <v>0</v>
      </c>
      <c r="F856">
        <v>0</v>
      </c>
      <c r="G856">
        <v>0</v>
      </c>
      <c r="H856">
        <v>43</v>
      </c>
      <c r="I856" s="183" t="s">
        <v>1098</v>
      </c>
      <c r="J856" s="183" t="s">
        <v>12050</v>
      </c>
      <c r="K856">
        <v>0</v>
      </c>
      <c r="L856">
        <v>43</v>
      </c>
    </row>
    <row r="857" spans="1:12">
      <c r="A857" s="183" t="s">
        <v>8481</v>
      </c>
      <c r="B857" s="183" t="s">
        <v>8482</v>
      </c>
      <c r="C857">
        <v>50212315</v>
      </c>
      <c r="D857">
        <v>50</v>
      </c>
      <c r="E857">
        <v>0</v>
      </c>
      <c r="F857">
        <v>0</v>
      </c>
      <c r="G857">
        <v>0</v>
      </c>
      <c r="H857">
        <v>50</v>
      </c>
      <c r="I857" s="183" t="s">
        <v>1098</v>
      </c>
      <c r="J857" s="183" t="s">
        <v>12055</v>
      </c>
      <c r="K857">
        <v>0</v>
      </c>
      <c r="L857">
        <v>50</v>
      </c>
    </row>
    <row r="858" spans="1:12">
      <c r="A858" s="183" t="s">
        <v>5084</v>
      </c>
      <c r="B858" s="183" t="s">
        <v>5085</v>
      </c>
      <c r="C858">
        <v>50212402</v>
      </c>
      <c r="D858">
        <v>37</v>
      </c>
      <c r="E858">
        <v>0</v>
      </c>
      <c r="F858">
        <v>0</v>
      </c>
      <c r="G858">
        <v>0</v>
      </c>
      <c r="H858">
        <v>37</v>
      </c>
      <c r="I858" s="183" t="s">
        <v>1098</v>
      </c>
      <c r="J858" s="183" t="s">
        <v>12060</v>
      </c>
      <c r="K858">
        <v>0</v>
      </c>
      <c r="L858">
        <v>37</v>
      </c>
    </row>
    <row r="859" spans="1:12">
      <c r="A859" s="183" t="s">
        <v>2820</v>
      </c>
      <c r="B859" s="183" t="s">
        <v>2821</v>
      </c>
      <c r="C859">
        <v>50212416</v>
      </c>
      <c r="D859">
        <v>48</v>
      </c>
      <c r="E859">
        <v>0</v>
      </c>
      <c r="F859">
        <v>0</v>
      </c>
      <c r="G859">
        <v>0</v>
      </c>
      <c r="H859">
        <v>48</v>
      </c>
      <c r="I859" s="183" t="s">
        <v>1098</v>
      </c>
      <c r="J859" s="183" t="s">
        <v>12060</v>
      </c>
      <c r="K859">
        <v>0</v>
      </c>
      <c r="L859">
        <v>48</v>
      </c>
    </row>
    <row r="860" spans="1:12">
      <c r="A860" s="183" t="s">
        <v>1209</v>
      </c>
      <c r="B860" s="183" t="s">
        <v>1210</v>
      </c>
      <c r="C860">
        <v>50213103</v>
      </c>
      <c r="D860">
        <v>23</v>
      </c>
      <c r="E860">
        <v>0</v>
      </c>
      <c r="F860">
        <v>0</v>
      </c>
      <c r="G860">
        <v>0</v>
      </c>
      <c r="H860">
        <v>23</v>
      </c>
      <c r="I860" s="183" t="s">
        <v>1098</v>
      </c>
      <c r="J860" s="183" t="s">
        <v>12056</v>
      </c>
      <c r="K860">
        <v>0</v>
      </c>
      <c r="L860">
        <v>23</v>
      </c>
    </row>
    <row r="861" spans="1:12">
      <c r="A861" s="183" t="s">
        <v>2906</v>
      </c>
      <c r="B861" s="183" t="s">
        <v>2907</v>
      </c>
      <c r="C861">
        <v>50213116</v>
      </c>
      <c r="D861">
        <v>38</v>
      </c>
      <c r="E861">
        <v>0</v>
      </c>
      <c r="F861">
        <v>0</v>
      </c>
      <c r="G861">
        <v>0</v>
      </c>
      <c r="H861">
        <v>38</v>
      </c>
      <c r="I861" s="183" t="s">
        <v>1098</v>
      </c>
      <c r="J861" s="183" t="s">
        <v>12050</v>
      </c>
      <c r="K861">
        <v>0</v>
      </c>
      <c r="L861">
        <v>38</v>
      </c>
    </row>
    <row r="862" spans="1:12">
      <c r="A862" s="183" t="s">
        <v>2760</v>
      </c>
      <c r="B862" s="183" t="s">
        <v>2761</v>
      </c>
      <c r="C862">
        <v>50213310</v>
      </c>
      <c r="D862">
        <v>48</v>
      </c>
      <c r="E862">
        <v>0</v>
      </c>
      <c r="F862">
        <v>0</v>
      </c>
      <c r="G862">
        <v>0</v>
      </c>
      <c r="H862">
        <v>48</v>
      </c>
      <c r="I862" s="183" t="s">
        <v>1098</v>
      </c>
      <c r="J862" s="183" t="s">
        <v>12061</v>
      </c>
      <c r="K862">
        <v>0</v>
      </c>
      <c r="L862">
        <v>48</v>
      </c>
    </row>
    <row r="863" spans="1:12">
      <c r="A863" s="183" t="s">
        <v>5080</v>
      </c>
      <c r="B863" s="183" t="s">
        <v>5081</v>
      </c>
      <c r="C863">
        <v>50213415</v>
      </c>
      <c r="D863">
        <v>50</v>
      </c>
      <c r="E863">
        <v>0</v>
      </c>
      <c r="F863">
        <v>0</v>
      </c>
      <c r="G863">
        <v>0</v>
      </c>
      <c r="H863">
        <v>50</v>
      </c>
      <c r="I863" s="183" t="s">
        <v>1098</v>
      </c>
      <c r="J863" s="183" t="s">
        <v>12052</v>
      </c>
      <c r="K863">
        <v>0</v>
      </c>
      <c r="L863">
        <v>50</v>
      </c>
    </row>
    <row r="864" spans="1:12">
      <c r="A864" s="183" t="s">
        <v>5212</v>
      </c>
      <c r="B864" s="183" t="s">
        <v>5213</v>
      </c>
      <c r="C864">
        <v>50213508</v>
      </c>
      <c r="D864">
        <v>50</v>
      </c>
      <c r="E864">
        <v>0</v>
      </c>
      <c r="F864">
        <v>0</v>
      </c>
      <c r="G864">
        <v>0</v>
      </c>
      <c r="H864">
        <v>50</v>
      </c>
      <c r="I864" s="183" t="s">
        <v>1098</v>
      </c>
      <c r="J864" s="183" t="s">
        <v>12061</v>
      </c>
      <c r="K864">
        <v>0</v>
      </c>
      <c r="L864">
        <v>50</v>
      </c>
    </row>
    <row r="865" spans="1:12">
      <c r="A865" s="183" t="s">
        <v>2778</v>
      </c>
      <c r="B865" s="183" t="s">
        <v>2779</v>
      </c>
      <c r="C865">
        <v>50214101</v>
      </c>
      <c r="D865">
        <v>47</v>
      </c>
      <c r="E865">
        <v>0</v>
      </c>
      <c r="F865">
        <v>0</v>
      </c>
      <c r="G865">
        <v>0</v>
      </c>
      <c r="H865">
        <v>47</v>
      </c>
      <c r="I865" s="183" t="s">
        <v>1098</v>
      </c>
      <c r="J865" s="183" t="s">
        <v>12053</v>
      </c>
      <c r="K865">
        <v>0</v>
      </c>
      <c r="L865">
        <v>47</v>
      </c>
    </row>
    <row r="866" spans="1:12">
      <c r="A866" s="183" t="s">
        <v>2794</v>
      </c>
      <c r="B866" s="183" t="s">
        <v>2795</v>
      </c>
      <c r="C866">
        <v>50214103</v>
      </c>
      <c r="D866">
        <v>81</v>
      </c>
      <c r="E866">
        <v>0</v>
      </c>
      <c r="F866">
        <v>0</v>
      </c>
      <c r="G866">
        <v>0</v>
      </c>
      <c r="H866">
        <v>81</v>
      </c>
      <c r="I866" s="183" t="s">
        <v>1098</v>
      </c>
      <c r="J866" s="183" t="s">
        <v>12091</v>
      </c>
      <c r="K866">
        <v>0</v>
      </c>
      <c r="L866">
        <v>81</v>
      </c>
    </row>
    <row r="867" spans="1:12">
      <c r="A867" s="183" t="s">
        <v>2785</v>
      </c>
      <c r="B867" s="183" t="s">
        <v>2786</v>
      </c>
      <c r="C867">
        <v>50214110</v>
      </c>
      <c r="D867">
        <v>50</v>
      </c>
      <c r="E867">
        <v>0</v>
      </c>
      <c r="F867">
        <v>0</v>
      </c>
      <c r="G867">
        <v>0</v>
      </c>
      <c r="H867">
        <v>50</v>
      </c>
      <c r="I867" s="183" t="s">
        <v>1098</v>
      </c>
      <c r="J867" s="183" t="s">
        <v>12060</v>
      </c>
      <c r="K867">
        <v>0</v>
      </c>
      <c r="L867">
        <v>50</v>
      </c>
    </row>
    <row r="868" spans="1:12">
      <c r="A868" s="183" t="s">
        <v>8071</v>
      </c>
      <c r="B868" s="183" t="s">
        <v>8072</v>
      </c>
      <c r="C868">
        <v>50214417</v>
      </c>
      <c r="D868">
        <v>48</v>
      </c>
      <c r="E868">
        <v>0</v>
      </c>
      <c r="F868">
        <v>0</v>
      </c>
      <c r="G868">
        <v>0</v>
      </c>
      <c r="H868">
        <v>48</v>
      </c>
      <c r="I868" s="183" t="s">
        <v>1098</v>
      </c>
      <c r="J868" s="183" t="s">
        <v>12052</v>
      </c>
      <c r="K868">
        <v>0</v>
      </c>
      <c r="L868">
        <v>48</v>
      </c>
    </row>
    <row r="869" spans="1:12">
      <c r="A869" s="183" t="s">
        <v>2870</v>
      </c>
      <c r="B869" s="183" t="s">
        <v>2871</v>
      </c>
      <c r="C869">
        <v>50215103</v>
      </c>
      <c r="D869">
        <v>49</v>
      </c>
      <c r="E869">
        <v>0</v>
      </c>
      <c r="F869">
        <v>0</v>
      </c>
      <c r="G869">
        <v>0</v>
      </c>
      <c r="H869">
        <v>49</v>
      </c>
      <c r="I869" s="183" t="s">
        <v>1098</v>
      </c>
      <c r="J869" s="183" t="s">
        <v>12091</v>
      </c>
      <c r="K869">
        <v>0</v>
      </c>
      <c r="L869">
        <v>49</v>
      </c>
    </row>
    <row r="870" spans="1:12">
      <c r="A870" s="183" t="s">
        <v>2812</v>
      </c>
      <c r="B870" s="183" t="s">
        <v>2813</v>
      </c>
      <c r="C870">
        <v>50215210</v>
      </c>
      <c r="D870">
        <v>60</v>
      </c>
      <c r="E870">
        <v>0</v>
      </c>
      <c r="F870">
        <v>0</v>
      </c>
      <c r="G870">
        <v>0</v>
      </c>
      <c r="H870">
        <v>60</v>
      </c>
      <c r="I870" s="183" t="s">
        <v>1098</v>
      </c>
      <c r="J870" s="183" t="s">
        <v>12057</v>
      </c>
      <c r="K870">
        <v>0</v>
      </c>
      <c r="L870">
        <v>60</v>
      </c>
    </row>
    <row r="871" spans="1:12">
      <c r="A871" s="183" t="s">
        <v>8483</v>
      </c>
      <c r="B871" s="183" t="s">
        <v>8484</v>
      </c>
      <c r="C871">
        <v>50215315</v>
      </c>
      <c r="D871">
        <v>49</v>
      </c>
      <c r="E871">
        <v>0</v>
      </c>
      <c r="F871">
        <v>0</v>
      </c>
      <c r="G871">
        <v>0</v>
      </c>
      <c r="H871">
        <v>49</v>
      </c>
      <c r="I871" s="183" t="s">
        <v>1098</v>
      </c>
      <c r="J871" s="183" t="s">
        <v>12055</v>
      </c>
      <c r="K871">
        <v>0</v>
      </c>
      <c r="L871">
        <v>49</v>
      </c>
    </row>
    <row r="872" spans="1:12">
      <c r="A872" s="183" t="s">
        <v>2763</v>
      </c>
      <c r="B872" s="183" t="s">
        <v>2764</v>
      </c>
      <c r="C872">
        <v>50215408</v>
      </c>
      <c r="D872">
        <v>58</v>
      </c>
      <c r="E872">
        <v>0</v>
      </c>
      <c r="F872">
        <v>0</v>
      </c>
      <c r="G872">
        <v>0</v>
      </c>
      <c r="H872">
        <v>58</v>
      </c>
      <c r="I872" s="183" t="s">
        <v>1098</v>
      </c>
      <c r="J872" s="183" t="s">
        <v>12050</v>
      </c>
      <c r="K872">
        <v>0</v>
      </c>
      <c r="L872">
        <v>58</v>
      </c>
    </row>
    <row r="873" spans="1:12">
      <c r="A873" s="183" t="s">
        <v>8918</v>
      </c>
      <c r="B873" s="183" t="s">
        <v>8919</v>
      </c>
      <c r="C873">
        <v>50215417</v>
      </c>
      <c r="D873">
        <v>49</v>
      </c>
      <c r="E873">
        <v>0</v>
      </c>
      <c r="F873">
        <v>0</v>
      </c>
      <c r="G873">
        <v>0</v>
      </c>
      <c r="H873">
        <v>49</v>
      </c>
      <c r="I873" s="183" t="s">
        <v>1098</v>
      </c>
      <c r="J873" s="183" t="s">
        <v>12057</v>
      </c>
      <c r="K873">
        <v>0</v>
      </c>
      <c r="L873">
        <v>49</v>
      </c>
    </row>
    <row r="874" spans="1:12">
      <c r="A874" s="183" t="s">
        <v>8334</v>
      </c>
      <c r="B874" s="183" t="s">
        <v>8335</v>
      </c>
      <c r="C874">
        <v>50215517</v>
      </c>
      <c r="D874">
        <v>48</v>
      </c>
      <c r="E874">
        <v>0</v>
      </c>
      <c r="F874">
        <v>0</v>
      </c>
      <c r="G874">
        <v>0</v>
      </c>
      <c r="H874">
        <v>48</v>
      </c>
      <c r="I874" s="183" t="s">
        <v>1098</v>
      </c>
      <c r="J874" s="183" t="s">
        <v>12054</v>
      </c>
      <c r="K874">
        <v>0</v>
      </c>
      <c r="L874">
        <v>48</v>
      </c>
    </row>
    <row r="875" spans="1:12">
      <c r="A875" s="183" t="s">
        <v>2767</v>
      </c>
      <c r="B875" s="183" t="s">
        <v>2768</v>
      </c>
      <c r="C875">
        <v>50216208</v>
      </c>
      <c r="D875">
        <v>50</v>
      </c>
      <c r="E875">
        <v>0</v>
      </c>
      <c r="F875">
        <v>0</v>
      </c>
      <c r="G875">
        <v>0</v>
      </c>
      <c r="H875">
        <v>50</v>
      </c>
      <c r="I875" s="183" t="s">
        <v>1098</v>
      </c>
      <c r="J875" s="183" t="s">
        <v>12056</v>
      </c>
      <c r="K875">
        <v>0</v>
      </c>
      <c r="L875">
        <v>50</v>
      </c>
    </row>
    <row r="876" spans="1:12">
      <c r="A876" s="183" t="s">
        <v>2834</v>
      </c>
      <c r="B876" s="183" t="s">
        <v>2835</v>
      </c>
      <c r="C876">
        <v>50216303</v>
      </c>
      <c r="D876">
        <v>49</v>
      </c>
      <c r="E876">
        <v>0</v>
      </c>
      <c r="F876">
        <v>0</v>
      </c>
      <c r="G876">
        <v>0</v>
      </c>
      <c r="H876">
        <v>49</v>
      </c>
      <c r="I876" s="183" t="s">
        <v>1098</v>
      </c>
      <c r="J876" s="183" t="s">
        <v>12059</v>
      </c>
      <c r="K876">
        <v>0</v>
      </c>
      <c r="L876">
        <v>49</v>
      </c>
    </row>
    <row r="877" spans="1:12">
      <c r="A877" s="183" t="s">
        <v>11855</v>
      </c>
      <c r="B877" s="183" t="s">
        <v>11856</v>
      </c>
      <c r="C877">
        <v>50216310</v>
      </c>
      <c r="D877">
        <v>49</v>
      </c>
      <c r="E877">
        <v>0</v>
      </c>
      <c r="F877">
        <v>0</v>
      </c>
      <c r="G877">
        <v>0</v>
      </c>
      <c r="H877">
        <v>49</v>
      </c>
      <c r="I877" s="183" t="s">
        <v>1098</v>
      </c>
      <c r="J877" s="183" t="s">
        <v>12067</v>
      </c>
      <c r="K877">
        <v>0</v>
      </c>
      <c r="L877">
        <v>49</v>
      </c>
    </row>
    <row r="878" spans="1:12">
      <c r="A878" s="183" t="s">
        <v>7226</v>
      </c>
      <c r="B878" s="183" t="s">
        <v>7227</v>
      </c>
      <c r="C878">
        <v>50216516</v>
      </c>
      <c r="D878">
        <v>17</v>
      </c>
      <c r="E878">
        <v>0</v>
      </c>
      <c r="F878">
        <v>0</v>
      </c>
      <c r="G878">
        <v>0</v>
      </c>
      <c r="H878">
        <v>17</v>
      </c>
      <c r="I878" s="183" t="s">
        <v>1098</v>
      </c>
      <c r="J878" s="183" t="s">
        <v>12060</v>
      </c>
      <c r="K878">
        <v>0</v>
      </c>
      <c r="L878">
        <v>17</v>
      </c>
    </row>
    <row r="879" spans="1:12">
      <c r="A879" s="183" t="s">
        <v>2787</v>
      </c>
      <c r="B879" s="183" t="s">
        <v>2788</v>
      </c>
      <c r="C879">
        <v>50217117</v>
      </c>
      <c r="D879">
        <v>48</v>
      </c>
      <c r="E879">
        <v>0</v>
      </c>
      <c r="F879">
        <v>0</v>
      </c>
      <c r="G879">
        <v>0</v>
      </c>
      <c r="H879">
        <v>48</v>
      </c>
      <c r="I879" s="183" t="s">
        <v>1098</v>
      </c>
      <c r="J879" s="183" t="s">
        <v>12053</v>
      </c>
      <c r="K879">
        <v>0</v>
      </c>
      <c r="L879">
        <v>48</v>
      </c>
    </row>
    <row r="880" spans="1:12">
      <c r="A880" s="183" t="s">
        <v>8266</v>
      </c>
      <c r="B880" s="183" t="s">
        <v>8267</v>
      </c>
      <c r="C880">
        <v>50217417</v>
      </c>
      <c r="D880">
        <v>49</v>
      </c>
      <c r="E880">
        <v>0</v>
      </c>
      <c r="F880">
        <v>0</v>
      </c>
      <c r="G880">
        <v>0</v>
      </c>
      <c r="H880">
        <v>49</v>
      </c>
      <c r="I880" s="183" t="s">
        <v>1098</v>
      </c>
      <c r="J880" s="183" t="s">
        <v>12060</v>
      </c>
      <c r="K880">
        <v>0</v>
      </c>
      <c r="L880">
        <v>49</v>
      </c>
    </row>
    <row r="881" spans="1:12">
      <c r="A881" s="183" t="s">
        <v>7159</v>
      </c>
      <c r="B881" s="183" t="s">
        <v>7160</v>
      </c>
      <c r="C881">
        <v>50217510</v>
      </c>
      <c r="D881">
        <v>27</v>
      </c>
      <c r="E881">
        <v>0</v>
      </c>
      <c r="F881">
        <v>0</v>
      </c>
      <c r="G881">
        <v>0</v>
      </c>
      <c r="H881">
        <v>27</v>
      </c>
      <c r="I881" s="183" t="s">
        <v>1098</v>
      </c>
      <c r="J881" s="183" t="s">
        <v>12060</v>
      </c>
      <c r="K881">
        <v>0</v>
      </c>
      <c r="L881">
        <v>27</v>
      </c>
    </row>
    <row r="882" spans="1:12">
      <c r="A882" s="183" t="s">
        <v>2911</v>
      </c>
      <c r="B882" s="183" t="s">
        <v>2912</v>
      </c>
      <c r="C882">
        <v>50218415</v>
      </c>
      <c r="D882">
        <v>45</v>
      </c>
      <c r="E882">
        <v>0</v>
      </c>
      <c r="F882">
        <v>0</v>
      </c>
      <c r="G882">
        <v>0</v>
      </c>
      <c r="H882">
        <v>45</v>
      </c>
      <c r="I882" s="183" t="s">
        <v>1098</v>
      </c>
      <c r="J882" s="183" t="s">
        <v>12061</v>
      </c>
      <c r="K882">
        <v>0</v>
      </c>
      <c r="L882">
        <v>45</v>
      </c>
    </row>
    <row r="883" spans="1:12">
      <c r="A883" s="183" t="s">
        <v>8296</v>
      </c>
      <c r="B883" s="183" t="s">
        <v>8297</v>
      </c>
      <c r="C883">
        <v>50218517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12050</v>
      </c>
      <c r="K883">
        <v>0</v>
      </c>
      <c r="L883">
        <v>49</v>
      </c>
    </row>
    <row r="884" spans="1:12">
      <c r="A884" s="183" t="s">
        <v>2875</v>
      </c>
      <c r="B884" s="183" t="s">
        <v>2876</v>
      </c>
      <c r="C884">
        <v>50219102</v>
      </c>
      <c r="D884">
        <v>48</v>
      </c>
      <c r="E884">
        <v>0</v>
      </c>
      <c r="F884">
        <v>0</v>
      </c>
      <c r="G884">
        <v>0</v>
      </c>
      <c r="H884">
        <v>48</v>
      </c>
      <c r="I884" s="183" t="s">
        <v>1098</v>
      </c>
      <c r="J884" s="183" t="s">
        <v>12056</v>
      </c>
      <c r="K884">
        <v>0</v>
      </c>
      <c r="L884">
        <v>48</v>
      </c>
    </row>
    <row r="885" spans="1:12">
      <c r="A885" s="183" t="s">
        <v>2908</v>
      </c>
      <c r="B885" s="183" t="s">
        <v>2909</v>
      </c>
      <c r="C885">
        <v>50219202</v>
      </c>
      <c r="D885">
        <v>46</v>
      </c>
      <c r="E885">
        <v>0</v>
      </c>
      <c r="F885">
        <v>0</v>
      </c>
      <c r="G885">
        <v>0</v>
      </c>
      <c r="H885">
        <v>46</v>
      </c>
      <c r="I885" s="183" t="s">
        <v>1098</v>
      </c>
      <c r="J885" s="183" t="s">
        <v>12052</v>
      </c>
      <c r="K885">
        <v>0</v>
      </c>
      <c r="L885">
        <v>46</v>
      </c>
    </row>
    <row r="886" spans="1:12">
      <c r="A886" s="183" t="s">
        <v>2864</v>
      </c>
      <c r="B886" s="183" t="s">
        <v>2865</v>
      </c>
      <c r="C886">
        <v>50220102</v>
      </c>
      <c r="D886">
        <v>70</v>
      </c>
      <c r="E886">
        <v>0</v>
      </c>
      <c r="F886">
        <v>0</v>
      </c>
      <c r="G886">
        <v>0</v>
      </c>
      <c r="H886">
        <v>70</v>
      </c>
      <c r="I886" s="183" t="s">
        <v>1098</v>
      </c>
      <c r="J886" s="183" t="s">
        <v>12059</v>
      </c>
      <c r="K886">
        <v>0</v>
      </c>
      <c r="L886">
        <v>70</v>
      </c>
    </row>
    <row r="887" spans="1:12">
      <c r="A887" s="183" t="s">
        <v>2757</v>
      </c>
      <c r="B887" s="183" t="s">
        <v>2758</v>
      </c>
      <c r="C887">
        <v>50220201</v>
      </c>
      <c r="D887">
        <v>33</v>
      </c>
      <c r="E887">
        <v>0</v>
      </c>
      <c r="F887">
        <v>0</v>
      </c>
      <c r="G887">
        <v>0</v>
      </c>
      <c r="H887">
        <v>33</v>
      </c>
      <c r="I887" s="183" t="s">
        <v>1098</v>
      </c>
      <c r="J887" s="183" t="s">
        <v>12057</v>
      </c>
      <c r="K887">
        <v>0</v>
      </c>
      <c r="L887">
        <v>33</v>
      </c>
    </row>
    <row r="888" spans="1:12">
      <c r="A888" s="183" t="s">
        <v>2897</v>
      </c>
      <c r="B888" s="183" t="s">
        <v>2898</v>
      </c>
      <c r="C888">
        <v>50220203</v>
      </c>
      <c r="D888">
        <v>49</v>
      </c>
      <c r="E888">
        <v>0</v>
      </c>
      <c r="F888">
        <v>0</v>
      </c>
      <c r="G888">
        <v>0</v>
      </c>
      <c r="H888">
        <v>49</v>
      </c>
      <c r="I888" s="183" t="s">
        <v>1098</v>
      </c>
      <c r="J888" s="183" t="s">
        <v>12054</v>
      </c>
      <c r="K888">
        <v>0</v>
      </c>
      <c r="L888">
        <v>49</v>
      </c>
    </row>
    <row r="889" spans="1:12">
      <c r="A889" s="183" t="s">
        <v>2844</v>
      </c>
      <c r="B889" s="183" t="s">
        <v>2845</v>
      </c>
      <c r="C889">
        <v>50220308</v>
      </c>
      <c r="D889">
        <v>50</v>
      </c>
      <c r="E889">
        <v>0</v>
      </c>
      <c r="F889">
        <v>0</v>
      </c>
      <c r="G889">
        <v>0</v>
      </c>
      <c r="H889">
        <v>50</v>
      </c>
      <c r="I889" s="183" t="s">
        <v>1098</v>
      </c>
      <c r="J889" s="183" t="s">
        <v>12058</v>
      </c>
      <c r="K889">
        <v>0</v>
      </c>
      <c r="L889">
        <v>50</v>
      </c>
    </row>
    <row r="890" spans="1:12">
      <c r="A890" s="183" t="s">
        <v>2860</v>
      </c>
      <c r="B890" s="183" t="s">
        <v>2861</v>
      </c>
      <c r="C890">
        <v>50220402</v>
      </c>
      <c r="D890">
        <v>49</v>
      </c>
      <c r="E890">
        <v>0</v>
      </c>
      <c r="F890">
        <v>0</v>
      </c>
      <c r="G890">
        <v>0</v>
      </c>
      <c r="H890">
        <v>49</v>
      </c>
      <c r="I890" s="183" t="s">
        <v>1098</v>
      </c>
      <c r="J890" s="183" t="s">
        <v>12061</v>
      </c>
      <c r="K890">
        <v>0</v>
      </c>
      <c r="L890">
        <v>49</v>
      </c>
    </row>
    <row r="891" spans="1:12">
      <c r="A891" s="183" t="s">
        <v>7274</v>
      </c>
      <c r="B891" s="183" t="s">
        <v>7275</v>
      </c>
      <c r="C891">
        <v>50220502</v>
      </c>
      <c r="D891">
        <v>27</v>
      </c>
      <c r="E891">
        <v>0</v>
      </c>
      <c r="F891">
        <v>0</v>
      </c>
      <c r="G891">
        <v>0</v>
      </c>
      <c r="H891">
        <v>27</v>
      </c>
      <c r="I891" s="183" t="s">
        <v>1098</v>
      </c>
      <c r="J891" s="183" t="s">
        <v>12059</v>
      </c>
      <c r="K891">
        <v>0</v>
      </c>
      <c r="L891">
        <v>27</v>
      </c>
    </row>
    <row r="892" spans="1:12">
      <c r="A892" s="183" t="s">
        <v>2866</v>
      </c>
      <c r="B892" s="183" t="s">
        <v>2867</v>
      </c>
      <c r="C892">
        <v>50221101</v>
      </c>
      <c r="D892">
        <v>36</v>
      </c>
      <c r="E892">
        <v>0</v>
      </c>
      <c r="F892">
        <v>0</v>
      </c>
      <c r="G892">
        <v>0</v>
      </c>
      <c r="H892">
        <v>36</v>
      </c>
      <c r="I892" s="183" t="s">
        <v>1098</v>
      </c>
      <c r="J892" s="183" t="s">
        <v>12059</v>
      </c>
      <c r="K892">
        <v>0</v>
      </c>
      <c r="L892">
        <v>36</v>
      </c>
    </row>
    <row r="893" spans="1:12">
      <c r="A893" s="183" t="s">
        <v>2872</v>
      </c>
      <c r="B893" s="183" t="s">
        <v>2873</v>
      </c>
      <c r="C893">
        <v>50221108</v>
      </c>
      <c r="D893">
        <v>40</v>
      </c>
      <c r="E893">
        <v>0</v>
      </c>
      <c r="F893">
        <v>0</v>
      </c>
      <c r="G893">
        <v>0</v>
      </c>
      <c r="H893">
        <v>40</v>
      </c>
      <c r="I893" s="183" t="s">
        <v>1098</v>
      </c>
      <c r="J893" s="183" t="s">
        <v>12057</v>
      </c>
      <c r="K893">
        <v>0</v>
      </c>
      <c r="L893">
        <v>40</v>
      </c>
    </row>
    <row r="894" spans="1:12">
      <c r="A894" s="183" t="s">
        <v>7999</v>
      </c>
      <c r="B894" s="183" t="s">
        <v>8000</v>
      </c>
      <c r="C894">
        <v>50221317</v>
      </c>
      <c r="D894">
        <v>49</v>
      </c>
      <c r="E894">
        <v>0</v>
      </c>
      <c r="F894">
        <v>0</v>
      </c>
      <c r="G894">
        <v>0</v>
      </c>
      <c r="H894">
        <v>49</v>
      </c>
      <c r="I894" s="183" t="s">
        <v>1098</v>
      </c>
      <c r="J894" s="183" t="s">
        <v>12060</v>
      </c>
      <c r="K894">
        <v>0</v>
      </c>
      <c r="L894">
        <v>49</v>
      </c>
    </row>
    <row r="895" spans="1:12">
      <c r="A895" s="183" t="s">
        <v>7195</v>
      </c>
      <c r="B895" s="183" t="s">
        <v>7196</v>
      </c>
      <c r="C895">
        <v>50221502</v>
      </c>
      <c r="D895">
        <v>19</v>
      </c>
      <c r="E895">
        <v>0</v>
      </c>
      <c r="F895">
        <v>0</v>
      </c>
      <c r="G895">
        <v>0</v>
      </c>
      <c r="H895">
        <v>19</v>
      </c>
      <c r="I895" s="183" t="s">
        <v>1098</v>
      </c>
      <c r="J895" s="183" t="s">
        <v>12057</v>
      </c>
      <c r="K895">
        <v>0</v>
      </c>
      <c r="L895">
        <v>19</v>
      </c>
    </row>
    <row r="896" spans="1:12">
      <c r="A896" s="183" t="s">
        <v>2883</v>
      </c>
      <c r="B896" s="183" t="s">
        <v>2884</v>
      </c>
      <c r="C896">
        <v>50222117</v>
      </c>
      <c r="D896">
        <v>36</v>
      </c>
      <c r="E896">
        <v>0</v>
      </c>
      <c r="F896">
        <v>0</v>
      </c>
      <c r="G896">
        <v>0</v>
      </c>
      <c r="H896">
        <v>36</v>
      </c>
      <c r="I896" s="183" t="s">
        <v>1098</v>
      </c>
      <c r="J896" s="183" t="s">
        <v>12052</v>
      </c>
      <c r="K896">
        <v>0</v>
      </c>
      <c r="L896">
        <v>36</v>
      </c>
    </row>
    <row r="897" spans="1:12">
      <c r="A897" s="183" t="s">
        <v>1832</v>
      </c>
      <c r="B897" s="183" t="s">
        <v>1833</v>
      </c>
      <c r="C897">
        <v>50207208</v>
      </c>
      <c r="D897">
        <v>49</v>
      </c>
      <c r="E897">
        <v>0</v>
      </c>
      <c r="F897">
        <v>0</v>
      </c>
      <c r="G897">
        <v>0</v>
      </c>
      <c r="H897">
        <v>49</v>
      </c>
      <c r="I897" s="183" t="s">
        <v>1098</v>
      </c>
      <c r="J897" s="183" t="s">
        <v>12057</v>
      </c>
      <c r="K897">
        <v>0</v>
      </c>
      <c r="L897">
        <v>49</v>
      </c>
    </row>
    <row r="898" spans="1:12">
      <c r="A898" s="183" t="s">
        <v>2174</v>
      </c>
      <c r="B898" s="183" t="s">
        <v>2175</v>
      </c>
      <c r="C898">
        <v>50207301</v>
      </c>
      <c r="D898">
        <v>31</v>
      </c>
      <c r="E898">
        <v>0</v>
      </c>
      <c r="F898">
        <v>0</v>
      </c>
      <c r="G898">
        <v>0</v>
      </c>
      <c r="H898">
        <v>31</v>
      </c>
      <c r="I898" s="183" t="s">
        <v>1098</v>
      </c>
      <c r="J898" s="183" t="s">
        <v>12054</v>
      </c>
      <c r="K898">
        <v>0</v>
      </c>
      <c r="L898">
        <v>31</v>
      </c>
    </row>
    <row r="899" spans="1:12">
      <c r="A899" s="183" t="s">
        <v>2676</v>
      </c>
      <c r="B899" s="183" t="s">
        <v>2677</v>
      </c>
      <c r="C899">
        <v>50207303</v>
      </c>
      <c r="D899">
        <v>49</v>
      </c>
      <c r="E899">
        <v>0</v>
      </c>
      <c r="F899">
        <v>0</v>
      </c>
      <c r="G899">
        <v>0</v>
      </c>
      <c r="H899">
        <v>49</v>
      </c>
      <c r="I899" s="183" t="s">
        <v>1098</v>
      </c>
      <c r="J899" s="183" t="s">
        <v>12055</v>
      </c>
      <c r="K899">
        <v>0</v>
      </c>
      <c r="L899">
        <v>49</v>
      </c>
    </row>
    <row r="900" spans="1:12">
      <c r="A900" s="183" t="s">
        <v>7180</v>
      </c>
      <c r="B900" s="183" t="s">
        <v>7181</v>
      </c>
      <c r="C900">
        <v>50207503</v>
      </c>
      <c r="D900">
        <v>17</v>
      </c>
      <c r="E900">
        <v>0</v>
      </c>
      <c r="F900">
        <v>0</v>
      </c>
      <c r="G900">
        <v>0</v>
      </c>
      <c r="H900">
        <v>17</v>
      </c>
      <c r="I900" s="183" t="s">
        <v>1098</v>
      </c>
      <c r="J900" s="183" t="s">
        <v>12054</v>
      </c>
      <c r="K900">
        <v>0</v>
      </c>
      <c r="L900">
        <v>17</v>
      </c>
    </row>
    <row r="901" spans="1:12">
      <c r="A901" s="183" t="s">
        <v>6930</v>
      </c>
      <c r="B901" s="183" t="s">
        <v>6931</v>
      </c>
      <c r="C901">
        <v>50208102</v>
      </c>
      <c r="D901">
        <v>47</v>
      </c>
      <c r="E901">
        <v>0</v>
      </c>
      <c r="F901">
        <v>0</v>
      </c>
      <c r="G901">
        <v>0</v>
      </c>
      <c r="H901">
        <v>47</v>
      </c>
      <c r="I901" s="183" t="s">
        <v>1098</v>
      </c>
      <c r="J901" s="183" t="s">
        <v>12056</v>
      </c>
      <c r="K901">
        <v>0</v>
      </c>
      <c r="L901">
        <v>47</v>
      </c>
    </row>
    <row r="902" spans="1:12">
      <c r="A902" s="183" t="s">
        <v>2310</v>
      </c>
      <c r="B902" s="183" t="s">
        <v>2311</v>
      </c>
      <c r="C902">
        <v>50208215</v>
      </c>
      <c r="D902">
        <v>49</v>
      </c>
      <c r="E902">
        <v>0</v>
      </c>
      <c r="F902">
        <v>0</v>
      </c>
      <c r="G902">
        <v>0</v>
      </c>
      <c r="H902">
        <v>49</v>
      </c>
      <c r="I902" s="183" t="s">
        <v>1098</v>
      </c>
      <c r="J902" s="183" t="s">
        <v>12057</v>
      </c>
      <c r="K902">
        <v>0</v>
      </c>
      <c r="L902">
        <v>49</v>
      </c>
    </row>
    <row r="903" spans="1:12">
      <c r="A903" s="183" t="s">
        <v>8087</v>
      </c>
      <c r="B903" s="183" t="s">
        <v>8088</v>
      </c>
      <c r="C903">
        <v>50208317</v>
      </c>
      <c r="D903">
        <v>47</v>
      </c>
      <c r="E903">
        <v>0</v>
      </c>
      <c r="F903">
        <v>0</v>
      </c>
      <c r="G903">
        <v>0</v>
      </c>
      <c r="H903">
        <v>47</v>
      </c>
      <c r="I903" s="183" t="s">
        <v>1098</v>
      </c>
      <c r="J903" s="183" t="s">
        <v>12057</v>
      </c>
      <c r="K903">
        <v>0</v>
      </c>
      <c r="L903">
        <v>47</v>
      </c>
    </row>
    <row r="904" spans="1:12">
      <c r="A904" s="183" t="s">
        <v>1501</v>
      </c>
      <c r="B904" s="183" t="s">
        <v>1502</v>
      </c>
      <c r="C904">
        <v>50209210</v>
      </c>
      <c r="D904">
        <v>48</v>
      </c>
      <c r="E904">
        <v>0</v>
      </c>
      <c r="F904">
        <v>0</v>
      </c>
      <c r="G904">
        <v>0</v>
      </c>
      <c r="H904">
        <v>48</v>
      </c>
      <c r="I904" s="183" t="s">
        <v>1098</v>
      </c>
      <c r="J904" s="183" t="s">
        <v>12061</v>
      </c>
      <c r="K904">
        <v>0</v>
      </c>
      <c r="L904">
        <v>48</v>
      </c>
    </row>
    <row r="905" spans="1:12">
      <c r="A905" s="183" t="s">
        <v>8908</v>
      </c>
      <c r="B905" s="183" t="s">
        <v>8909</v>
      </c>
      <c r="C905">
        <v>50209310</v>
      </c>
      <c r="D905">
        <v>47</v>
      </c>
      <c r="E905">
        <v>0</v>
      </c>
      <c r="F905">
        <v>0</v>
      </c>
      <c r="G905">
        <v>0</v>
      </c>
      <c r="H905">
        <v>47</v>
      </c>
      <c r="I905" s="183" t="s">
        <v>1098</v>
      </c>
      <c r="J905" s="183" t="s">
        <v>12055</v>
      </c>
      <c r="K905">
        <v>0</v>
      </c>
      <c r="L905">
        <v>47</v>
      </c>
    </row>
    <row r="906" spans="1:12">
      <c r="A906" s="183" t="s">
        <v>5214</v>
      </c>
      <c r="B906" s="183" t="s">
        <v>5215</v>
      </c>
      <c r="C906">
        <v>50209408</v>
      </c>
      <c r="D906">
        <v>25</v>
      </c>
      <c r="E906">
        <v>0</v>
      </c>
      <c r="F906">
        <v>0</v>
      </c>
      <c r="G906">
        <v>0</v>
      </c>
      <c r="H906">
        <v>25</v>
      </c>
      <c r="I906" s="183" t="s">
        <v>1098</v>
      </c>
      <c r="J906" s="183" t="s">
        <v>12054</v>
      </c>
      <c r="K906">
        <v>0</v>
      </c>
      <c r="L906">
        <v>25</v>
      </c>
    </row>
    <row r="907" spans="1:12">
      <c r="A907" s="183" t="s">
        <v>8910</v>
      </c>
      <c r="B907" s="183" t="s">
        <v>8911</v>
      </c>
      <c r="C907">
        <v>50210310</v>
      </c>
      <c r="D907">
        <v>20</v>
      </c>
      <c r="E907">
        <v>0</v>
      </c>
      <c r="F907">
        <v>0</v>
      </c>
      <c r="G907">
        <v>0</v>
      </c>
      <c r="H907">
        <v>20</v>
      </c>
      <c r="I907" s="183" t="s">
        <v>1098</v>
      </c>
      <c r="J907" s="183" t="s">
        <v>12063</v>
      </c>
      <c r="K907">
        <v>0</v>
      </c>
      <c r="L907">
        <v>20</v>
      </c>
    </row>
    <row r="908" spans="1:12">
      <c r="A908" s="183" t="s">
        <v>8240</v>
      </c>
      <c r="B908" s="183" t="s">
        <v>8241</v>
      </c>
      <c r="C908">
        <v>50210316</v>
      </c>
      <c r="D908">
        <v>69</v>
      </c>
      <c r="E908">
        <v>0</v>
      </c>
      <c r="F908">
        <v>0</v>
      </c>
      <c r="G908">
        <v>0</v>
      </c>
      <c r="H908">
        <v>69</v>
      </c>
      <c r="I908" s="183" t="s">
        <v>1098</v>
      </c>
      <c r="J908" s="183" t="s">
        <v>12050</v>
      </c>
      <c r="K908">
        <v>0</v>
      </c>
      <c r="L908">
        <v>69</v>
      </c>
    </row>
    <row r="909" spans="1:12">
      <c r="A909" s="183" t="s">
        <v>8238</v>
      </c>
      <c r="B909" s="183" t="s">
        <v>8239</v>
      </c>
      <c r="C909">
        <v>50211110</v>
      </c>
      <c r="D909">
        <v>50</v>
      </c>
      <c r="E909">
        <v>0</v>
      </c>
      <c r="F909">
        <v>0</v>
      </c>
      <c r="G909">
        <v>0</v>
      </c>
      <c r="H909">
        <v>50</v>
      </c>
      <c r="I909" s="183" t="s">
        <v>1098</v>
      </c>
      <c r="J909" s="183" t="s">
        <v>12061</v>
      </c>
      <c r="K909">
        <v>0</v>
      </c>
      <c r="L909">
        <v>50</v>
      </c>
    </row>
    <row r="910" spans="1:12">
      <c r="A910" s="183" t="s">
        <v>8232</v>
      </c>
      <c r="B910" s="183" t="s">
        <v>8233</v>
      </c>
      <c r="C910">
        <v>50211203</v>
      </c>
      <c r="D910">
        <v>50</v>
      </c>
      <c r="E910">
        <v>0</v>
      </c>
      <c r="F910">
        <v>0</v>
      </c>
      <c r="G910">
        <v>0</v>
      </c>
      <c r="H910">
        <v>50</v>
      </c>
      <c r="I910" s="183" t="s">
        <v>1098</v>
      </c>
      <c r="J910" s="183" t="s">
        <v>12052</v>
      </c>
      <c r="K910">
        <v>0</v>
      </c>
      <c r="L910">
        <v>50</v>
      </c>
    </row>
    <row r="911" spans="1:12">
      <c r="A911" s="183" t="s">
        <v>8912</v>
      </c>
      <c r="B911" s="183" t="s">
        <v>8913</v>
      </c>
      <c r="C911">
        <v>50211310</v>
      </c>
      <c r="D911">
        <v>50</v>
      </c>
      <c r="E911">
        <v>0</v>
      </c>
      <c r="F911">
        <v>0</v>
      </c>
      <c r="G911">
        <v>0</v>
      </c>
      <c r="H911">
        <v>50</v>
      </c>
      <c r="I911" s="183" t="s">
        <v>1098</v>
      </c>
      <c r="J911" s="183" t="s">
        <v>12061</v>
      </c>
      <c r="K911">
        <v>0</v>
      </c>
      <c r="L911">
        <v>50</v>
      </c>
    </row>
    <row r="912" spans="1:12">
      <c r="A912" s="183" t="s">
        <v>2155</v>
      </c>
      <c r="B912" s="183" t="s">
        <v>2156</v>
      </c>
      <c r="C912">
        <v>50212102</v>
      </c>
      <c r="D912">
        <v>38</v>
      </c>
      <c r="E912">
        <v>0</v>
      </c>
      <c r="F912">
        <v>0</v>
      </c>
      <c r="G912">
        <v>0</v>
      </c>
      <c r="H912">
        <v>38</v>
      </c>
      <c r="I912" s="183" t="s">
        <v>1098</v>
      </c>
      <c r="J912" s="183" t="s">
        <v>12050</v>
      </c>
      <c r="K912">
        <v>0</v>
      </c>
      <c r="L912">
        <v>38</v>
      </c>
    </row>
    <row r="913" spans="1:12">
      <c r="A913" s="183" t="s">
        <v>2684</v>
      </c>
      <c r="B913" s="183" t="s">
        <v>2685</v>
      </c>
      <c r="C913">
        <v>50212110</v>
      </c>
      <c r="D913">
        <v>47</v>
      </c>
      <c r="E913">
        <v>0</v>
      </c>
      <c r="F913">
        <v>0</v>
      </c>
      <c r="G913">
        <v>0</v>
      </c>
      <c r="H913">
        <v>47</v>
      </c>
      <c r="I913" s="183" t="s">
        <v>1098</v>
      </c>
      <c r="J913" s="183" t="s">
        <v>12057</v>
      </c>
      <c r="K913">
        <v>0</v>
      </c>
      <c r="L913">
        <v>47</v>
      </c>
    </row>
    <row r="914" spans="1:12">
      <c r="A914" s="183" t="s">
        <v>8380</v>
      </c>
      <c r="B914" s="183" t="s">
        <v>8381</v>
      </c>
      <c r="C914">
        <v>50212202</v>
      </c>
      <c r="D914">
        <v>49</v>
      </c>
      <c r="E914">
        <v>0</v>
      </c>
      <c r="F914">
        <v>0</v>
      </c>
      <c r="G914">
        <v>0</v>
      </c>
      <c r="H914">
        <v>49</v>
      </c>
      <c r="I914" s="183" t="s">
        <v>1098</v>
      </c>
      <c r="J914" s="183" t="s">
        <v>12055</v>
      </c>
      <c r="K914">
        <v>0</v>
      </c>
      <c r="L914">
        <v>49</v>
      </c>
    </row>
    <row r="915" spans="1:12">
      <c r="A915" s="183" t="s">
        <v>1507</v>
      </c>
      <c r="B915" s="183" t="s">
        <v>1508</v>
      </c>
      <c r="C915">
        <v>50212410</v>
      </c>
      <c r="D915">
        <v>74</v>
      </c>
      <c r="E915">
        <v>0</v>
      </c>
      <c r="F915">
        <v>0</v>
      </c>
      <c r="G915">
        <v>0</v>
      </c>
      <c r="H915">
        <v>74</v>
      </c>
      <c r="I915" s="183" t="s">
        <v>1098</v>
      </c>
      <c r="J915" s="183" t="s">
        <v>12061</v>
      </c>
      <c r="K915">
        <v>0</v>
      </c>
      <c r="L915">
        <v>74</v>
      </c>
    </row>
    <row r="916" spans="1:12">
      <c r="A916" s="183" t="s">
        <v>2678</v>
      </c>
      <c r="B916" s="183" t="s">
        <v>2679</v>
      </c>
      <c r="C916">
        <v>50212517</v>
      </c>
      <c r="D916">
        <v>50</v>
      </c>
      <c r="E916">
        <v>0</v>
      </c>
      <c r="F916">
        <v>0</v>
      </c>
      <c r="G916">
        <v>0</v>
      </c>
      <c r="H916">
        <v>50</v>
      </c>
      <c r="I916" s="183" t="s">
        <v>1098</v>
      </c>
      <c r="J916" s="183" t="s">
        <v>12054</v>
      </c>
      <c r="K916">
        <v>0</v>
      </c>
      <c r="L916">
        <v>50</v>
      </c>
    </row>
    <row r="917" spans="1:12">
      <c r="A917" s="183" t="s">
        <v>1827</v>
      </c>
      <c r="B917" s="183" t="s">
        <v>1828</v>
      </c>
      <c r="C917">
        <v>50213101</v>
      </c>
      <c r="D917">
        <v>46</v>
      </c>
      <c r="E917">
        <v>0</v>
      </c>
      <c r="F917">
        <v>0</v>
      </c>
      <c r="G917">
        <v>0</v>
      </c>
      <c r="H917">
        <v>46</v>
      </c>
      <c r="I917" s="183" t="s">
        <v>1098</v>
      </c>
      <c r="J917" s="183" t="s">
        <v>12060</v>
      </c>
      <c r="K917">
        <v>0</v>
      </c>
      <c r="L917">
        <v>46</v>
      </c>
    </row>
    <row r="918" spans="1:12">
      <c r="A918" s="183" t="s">
        <v>1658</v>
      </c>
      <c r="B918" s="183" t="s">
        <v>1659</v>
      </c>
      <c r="C918">
        <v>50213102</v>
      </c>
      <c r="D918">
        <v>68</v>
      </c>
      <c r="E918">
        <v>0</v>
      </c>
      <c r="F918">
        <v>0</v>
      </c>
      <c r="G918">
        <v>0</v>
      </c>
      <c r="H918">
        <v>68</v>
      </c>
      <c r="I918" s="183" t="s">
        <v>1098</v>
      </c>
      <c r="J918" s="183" t="s">
        <v>12052</v>
      </c>
      <c r="K918">
        <v>0</v>
      </c>
      <c r="L918">
        <v>68</v>
      </c>
    </row>
    <row r="919" spans="1:12">
      <c r="A919" s="183" t="s">
        <v>8412</v>
      </c>
      <c r="B919" s="183" t="s">
        <v>8413</v>
      </c>
      <c r="C919">
        <v>50213201</v>
      </c>
      <c r="D919">
        <v>48</v>
      </c>
      <c r="E919">
        <v>0</v>
      </c>
      <c r="F919">
        <v>0</v>
      </c>
      <c r="G919">
        <v>0</v>
      </c>
      <c r="H919">
        <v>48</v>
      </c>
      <c r="I919" s="183" t="s">
        <v>1098</v>
      </c>
      <c r="J919" s="183" t="s">
        <v>12055</v>
      </c>
      <c r="K919">
        <v>0</v>
      </c>
      <c r="L919">
        <v>48</v>
      </c>
    </row>
    <row r="920" spans="1:12">
      <c r="A920" s="183" t="s">
        <v>2170</v>
      </c>
      <c r="B920" s="183" t="s">
        <v>2171</v>
      </c>
      <c r="C920">
        <v>50213202</v>
      </c>
      <c r="D920">
        <v>35</v>
      </c>
      <c r="E920">
        <v>0</v>
      </c>
      <c r="F920">
        <v>0</v>
      </c>
      <c r="G920">
        <v>0</v>
      </c>
      <c r="H920">
        <v>35</v>
      </c>
      <c r="I920" s="183" t="s">
        <v>1098</v>
      </c>
      <c r="J920" s="183" t="s">
        <v>12052</v>
      </c>
      <c r="K920">
        <v>0</v>
      </c>
      <c r="L920">
        <v>35</v>
      </c>
    </row>
    <row r="921" spans="1:12">
      <c r="A921" s="183" t="s">
        <v>1494</v>
      </c>
      <c r="B921" s="183" t="s">
        <v>1495</v>
      </c>
      <c r="C921">
        <v>50213210</v>
      </c>
      <c r="D921">
        <v>49</v>
      </c>
      <c r="E921">
        <v>0</v>
      </c>
      <c r="F921">
        <v>0</v>
      </c>
      <c r="G921">
        <v>0</v>
      </c>
      <c r="H921">
        <v>49</v>
      </c>
      <c r="I921" s="183" t="s">
        <v>1098</v>
      </c>
      <c r="J921" s="183" t="s">
        <v>12057</v>
      </c>
      <c r="K921">
        <v>0</v>
      </c>
      <c r="L921">
        <v>49</v>
      </c>
    </row>
    <row r="922" spans="1:12">
      <c r="A922" s="183" t="s">
        <v>2462</v>
      </c>
      <c r="B922" s="183" t="s">
        <v>2463</v>
      </c>
      <c r="C922">
        <v>50214217</v>
      </c>
      <c r="D922">
        <v>38</v>
      </c>
      <c r="E922">
        <v>0</v>
      </c>
      <c r="F922">
        <v>0</v>
      </c>
      <c r="G922">
        <v>0</v>
      </c>
      <c r="H922">
        <v>38</v>
      </c>
      <c r="I922" s="183" t="s">
        <v>1098</v>
      </c>
      <c r="J922" s="183" t="s">
        <v>12052</v>
      </c>
      <c r="K922">
        <v>0</v>
      </c>
      <c r="L922">
        <v>38</v>
      </c>
    </row>
    <row r="923" spans="1:12">
      <c r="A923" s="183" t="s">
        <v>8914</v>
      </c>
      <c r="B923" s="183" t="s">
        <v>8915</v>
      </c>
      <c r="C923">
        <v>50214310</v>
      </c>
      <c r="D923">
        <v>50</v>
      </c>
      <c r="E923">
        <v>0</v>
      </c>
      <c r="F923">
        <v>0</v>
      </c>
      <c r="G923">
        <v>0</v>
      </c>
      <c r="H923">
        <v>50</v>
      </c>
      <c r="I923" s="183" t="s">
        <v>1098</v>
      </c>
      <c r="J923" s="183" t="s">
        <v>12055</v>
      </c>
      <c r="K923">
        <v>0</v>
      </c>
      <c r="L923">
        <v>50</v>
      </c>
    </row>
    <row r="924" spans="1:12">
      <c r="A924" s="183" t="s">
        <v>2163</v>
      </c>
      <c r="B924" s="183" t="s">
        <v>2164</v>
      </c>
      <c r="C924">
        <v>50214415</v>
      </c>
      <c r="D924">
        <v>50</v>
      </c>
      <c r="E924">
        <v>0</v>
      </c>
      <c r="F924">
        <v>0</v>
      </c>
      <c r="G924">
        <v>0</v>
      </c>
      <c r="H924">
        <v>50</v>
      </c>
      <c r="I924" s="183" t="s">
        <v>1098</v>
      </c>
      <c r="J924" s="183" t="s">
        <v>12063</v>
      </c>
      <c r="K924">
        <v>0</v>
      </c>
      <c r="L924">
        <v>50</v>
      </c>
    </row>
    <row r="925" spans="1:12">
      <c r="A925" s="183" t="s">
        <v>1656</v>
      </c>
      <c r="B925" s="183" t="s">
        <v>1657</v>
      </c>
      <c r="C925">
        <v>50215217</v>
      </c>
      <c r="D925">
        <v>41</v>
      </c>
      <c r="E925">
        <v>0</v>
      </c>
      <c r="F925">
        <v>0</v>
      </c>
      <c r="G925">
        <v>0</v>
      </c>
      <c r="H925">
        <v>41</v>
      </c>
      <c r="I925" s="183" t="s">
        <v>1098</v>
      </c>
      <c r="J925" s="183" t="s">
        <v>12057</v>
      </c>
      <c r="K925">
        <v>0</v>
      </c>
      <c r="L925">
        <v>41</v>
      </c>
    </row>
    <row r="926" spans="1:12">
      <c r="A926" s="183" t="s">
        <v>1513</v>
      </c>
      <c r="B926" s="183" t="s">
        <v>1514</v>
      </c>
      <c r="C926">
        <v>50215303</v>
      </c>
      <c r="D926">
        <v>50</v>
      </c>
      <c r="E926">
        <v>0</v>
      </c>
      <c r="F926">
        <v>0</v>
      </c>
      <c r="G926">
        <v>0</v>
      </c>
      <c r="H926">
        <v>50</v>
      </c>
      <c r="I926" s="183" t="s">
        <v>1098</v>
      </c>
      <c r="J926" s="183" t="s">
        <v>12057</v>
      </c>
      <c r="K926">
        <v>0</v>
      </c>
      <c r="L926">
        <v>50</v>
      </c>
    </row>
    <row r="927" spans="1:12">
      <c r="A927" s="183" t="s">
        <v>8916</v>
      </c>
      <c r="B927" s="183" t="s">
        <v>8917</v>
      </c>
      <c r="C927">
        <v>50215310</v>
      </c>
      <c r="D927">
        <v>40</v>
      </c>
      <c r="E927">
        <v>0</v>
      </c>
      <c r="F927">
        <v>0</v>
      </c>
      <c r="G927">
        <v>0</v>
      </c>
      <c r="H927">
        <v>40</v>
      </c>
      <c r="I927" s="183" t="s">
        <v>1098</v>
      </c>
      <c r="J927" s="183" t="s">
        <v>12057</v>
      </c>
      <c r="K927">
        <v>0</v>
      </c>
      <c r="L927">
        <v>40</v>
      </c>
    </row>
    <row r="928" spans="1:12">
      <c r="A928" s="183" t="s">
        <v>5068</v>
      </c>
      <c r="B928" s="183" t="s">
        <v>5069</v>
      </c>
      <c r="C928">
        <v>50215415</v>
      </c>
      <c r="D928">
        <v>30</v>
      </c>
      <c r="E928">
        <v>0</v>
      </c>
      <c r="F928">
        <v>0</v>
      </c>
      <c r="G928">
        <v>0</v>
      </c>
      <c r="H928">
        <v>30</v>
      </c>
      <c r="I928" s="183" t="s">
        <v>1098</v>
      </c>
      <c r="J928" s="183" t="s">
        <v>12056</v>
      </c>
      <c r="K928">
        <v>0</v>
      </c>
      <c r="L928">
        <v>30</v>
      </c>
    </row>
    <row r="929" spans="1:12">
      <c r="A929" s="183" t="s">
        <v>8200</v>
      </c>
      <c r="B929" s="183" t="s">
        <v>8201</v>
      </c>
      <c r="C929">
        <v>50216102</v>
      </c>
      <c r="D929">
        <v>50</v>
      </c>
      <c r="E929">
        <v>0</v>
      </c>
      <c r="F929">
        <v>0</v>
      </c>
      <c r="G929">
        <v>0</v>
      </c>
      <c r="H929">
        <v>50</v>
      </c>
      <c r="I929" s="183" t="s">
        <v>1098</v>
      </c>
      <c r="J929" s="183" t="s">
        <v>12060</v>
      </c>
      <c r="K929">
        <v>0</v>
      </c>
      <c r="L929">
        <v>50</v>
      </c>
    </row>
    <row r="930" spans="1:12">
      <c r="A930" s="183" t="s">
        <v>1996</v>
      </c>
      <c r="B930" s="183" t="s">
        <v>1997</v>
      </c>
      <c r="C930">
        <v>50216110</v>
      </c>
      <c r="D930">
        <v>46</v>
      </c>
      <c r="E930">
        <v>0</v>
      </c>
      <c r="F930">
        <v>0</v>
      </c>
      <c r="G930">
        <v>0</v>
      </c>
      <c r="H930">
        <v>46</v>
      </c>
      <c r="I930" s="183" t="s">
        <v>1098</v>
      </c>
      <c r="J930" s="183" t="s">
        <v>12053</v>
      </c>
      <c r="K930">
        <v>0</v>
      </c>
      <c r="L930">
        <v>46</v>
      </c>
    </row>
    <row r="931" spans="1:12">
      <c r="A931" s="183" t="s">
        <v>2464</v>
      </c>
      <c r="B931" s="183" t="s">
        <v>2465</v>
      </c>
      <c r="C931">
        <v>50216117</v>
      </c>
      <c r="D931">
        <v>24</v>
      </c>
      <c r="E931">
        <v>0</v>
      </c>
      <c r="F931">
        <v>0</v>
      </c>
      <c r="G931">
        <v>0</v>
      </c>
      <c r="H931">
        <v>24</v>
      </c>
      <c r="I931" s="183" t="s">
        <v>1098</v>
      </c>
      <c r="J931" s="183" t="s">
        <v>12054</v>
      </c>
      <c r="K931">
        <v>0</v>
      </c>
      <c r="L931">
        <v>24</v>
      </c>
    </row>
    <row r="932" spans="1:12">
      <c r="A932" s="183" t="s">
        <v>2670</v>
      </c>
      <c r="B932" s="183" t="s">
        <v>2671</v>
      </c>
      <c r="C932">
        <v>50217115</v>
      </c>
      <c r="D932">
        <v>38</v>
      </c>
      <c r="E932">
        <v>0</v>
      </c>
      <c r="F932">
        <v>0</v>
      </c>
      <c r="G932">
        <v>0</v>
      </c>
      <c r="H932">
        <v>38</v>
      </c>
      <c r="I932" s="183" t="s">
        <v>1098</v>
      </c>
      <c r="J932" s="183" t="s">
        <v>12059</v>
      </c>
      <c r="K932">
        <v>0</v>
      </c>
      <c r="L932">
        <v>38</v>
      </c>
    </row>
    <row r="933" spans="1:12">
      <c r="A933" s="183" t="s">
        <v>2176</v>
      </c>
      <c r="B933" s="183" t="s">
        <v>2177</v>
      </c>
      <c r="C933">
        <v>50217210</v>
      </c>
      <c r="D933">
        <v>50</v>
      </c>
      <c r="E933">
        <v>0</v>
      </c>
      <c r="F933">
        <v>0</v>
      </c>
      <c r="G933">
        <v>0</v>
      </c>
      <c r="H933">
        <v>50</v>
      </c>
      <c r="I933" s="183" t="s">
        <v>1098</v>
      </c>
      <c r="J933" s="183" t="s">
        <v>12050</v>
      </c>
      <c r="K933">
        <v>0</v>
      </c>
      <c r="L933">
        <v>50</v>
      </c>
    </row>
    <row r="934" spans="1:12">
      <c r="A934" s="183" t="s">
        <v>8449</v>
      </c>
      <c r="B934" s="183" t="s">
        <v>8450</v>
      </c>
      <c r="C934">
        <v>50217517</v>
      </c>
      <c r="D934">
        <v>50</v>
      </c>
      <c r="E934">
        <v>0</v>
      </c>
      <c r="F934">
        <v>0</v>
      </c>
      <c r="G934">
        <v>0</v>
      </c>
      <c r="H934">
        <v>50</v>
      </c>
      <c r="I934" s="183" t="s">
        <v>1098</v>
      </c>
      <c r="J934" s="183" t="s">
        <v>12056</v>
      </c>
      <c r="K934">
        <v>0</v>
      </c>
      <c r="L934">
        <v>50</v>
      </c>
    </row>
    <row r="935" spans="1:12">
      <c r="A935" s="183" t="s">
        <v>1983</v>
      </c>
      <c r="B935" s="183" t="s">
        <v>1984</v>
      </c>
      <c r="C935">
        <v>50219201</v>
      </c>
      <c r="D935">
        <v>38</v>
      </c>
      <c r="E935">
        <v>0</v>
      </c>
      <c r="F935">
        <v>0</v>
      </c>
      <c r="G935">
        <v>0</v>
      </c>
      <c r="H935">
        <v>38</v>
      </c>
      <c r="I935" s="183" t="s">
        <v>1098</v>
      </c>
      <c r="J935" s="183" t="s">
        <v>12052</v>
      </c>
      <c r="K935">
        <v>0</v>
      </c>
      <c r="L935">
        <v>38</v>
      </c>
    </row>
    <row r="936" spans="1:12">
      <c r="A936" s="183" t="s">
        <v>1987</v>
      </c>
      <c r="B936" s="183" t="s">
        <v>1988</v>
      </c>
      <c r="C936">
        <v>50219208</v>
      </c>
      <c r="D936">
        <v>50</v>
      </c>
      <c r="E936">
        <v>0</v>
      </c>
      <c r="F936">
        <v>0</v>
      </c>
      <c r="G936">
        <v>0</v>
      </c>
      <c r="H936">
        <v>50</v>
      </c>
      <c r="I936" s="183" t="s">
        <v>1098</v>
      </c>
      <c r="J936" s="183" t="s">
        <v>12057</v>
      </c>
      <c r="K936">
        <v>0</v>
      </c>
      <c r="L936">
        <v>50</v>
      </c>
    </row>
    <row r="937" spans="1:12">
      <c r="A937" s="183" t="s">
        <v>1515</v>
      </c>
      <c r="B937" s="183" t="s">
        <v>1516</v>
      </c>
      <c r="C937">
        <v>50219210</v>
      </c>
      <c r="D937">
        <v>32</v>
      </c>
      <c r="E937">
        <v>0</v>
      </c>
      <c r="F937">
        <v>0</v>
      </c>
      <c r="G937">
        <v>0</v>
      </c>
      <c r="H937">
        <v>32</v>
      </c>
      <c r="I937" s="183" t="s">
        <v>1098</v>
      </c>
      <c r="J937" s="183" t="s">
        <v>12052</v>
      </c>
      <c r="K937">
        <v>0</v>
      </c>
      <c r="L937">
        <v>32</v>
      </c>
    </row>
    <row r="938" spans="1:12">
      <c r="A938" s="183" t="s">
        <v>7120</v>
      </c>
      <c r="B938" s="183" t="s">
        <v>7121</v>
      </c>
      <c r="C938">
        <v>50219303</v>
      </c>
      <c r="D938">
        <v>19</v>
      </c>
      <c r="E938">
        <v>0</v>
      </c>
      <c r="F938">
        <v>0</v>
      </c>
      <c r="G938">
        <v>0</v>
      </c>
      <c r="H938">
        <v>19</v>
      </c>
      <c r="I938" s="183" t="s">
        <v>1098</v>
      </c>
      <c r="J938" s="183" t="s">
        <v>12056</v>
      </c>
      <c r="K938">
        <v>0</v>
      </c>
      <c r="L938">
        <v>19</v>
      </c>
    </row>
    <row r="939" spans="1:12">
      <c r="A939" s="183" t="s">
        <v>8242</v>
      </c>
      <c r="B939" s="183" t="s">
        <v>8243</v>
      </c>
      <c r="C939">
        <v>50220208</v>
      </c>
      <c r="D939">
        <v>50</v>
      </c>
      <c r="E939">
        <v>0</v>
      </c>
      <c r="F939">
        <v>0</v>
      </c>
      <c r="G939">
        <v>0</v>
      </c>
      <c r="H939">
        <v>50</v>
      </c>
      <c r="I939" s="183" t="s">
        <v>1098</v>
      </c>
      <c r="J939" s="183" t="s">
        <v>12057</v>
      </c>
      <c r="K939">
        <v>0</v>
      </c>
      <c r="L939">
        <v>50</v>
      </c>
    </row>
    <row r="940" spans="1:12">
      <c r="A940" s="183" t="s">
        <v>8406</v>
      </c>
      <c r="B940" s="183" t="s">
        <v>8407</v>
      </c>
      <c r="C940">
        <v>50220316</v>
      </c>
      <c r="D940">
        <v>61</v>
      </c>
      <c r="E940">
        <v>0</v>
      </c>
      <c r="F940">
        <v>0</v>
      </c>
      <c r="G940">
        <v>0</v>
      </c>
      <c r="H940">
        <v>61</v>
      </c>
      <c r="I940" s="183" t="s">
        <v>1098</v>
      </c>
      <c r="J940" s="183" t="s">
        <v>12052</v>
      </c>
      <c r="K940">
        <v>0</v>
      </c>
      <c r="L940">
        <v>61</v>
      </c>
    </row>
    <row r="941" spans="1:12">
      <c r="A941" s="183" t="s">
        <v>8531</v>
      </c>
      <c r="B941" s="183" t="s">
        <v>8532</v>
      </c>
      <c r="C941">
        <v>50214115</v>
      </c>
      <c r="D941">
        <v>16</v>
      </c>
      <c r="E941">
        <v>0</v>
      </c>
      <c r="F941">
        <v>0</v>
      </c>
      <c r="G941">
        <v>0</v>
      </c>
      <c r="H941">
        <v>16</v>
      </c>
      <c r="I941" s="183" t="s">
        <v>1098</v>
      </c>
      <c r="J941" s="183" t="s">
        <v>12052</v>
      </c>
      <c r="K941">
        <v>0</v>
      </c>
      <c r="L941">
        <v>16</v>
      </c>
    </row>
    <row r="942" spans="1:12">
      <c r="A942" s="183" t="s">
        <v>2024</v>
      </c>
      <c r="B942" s="183" t="s">
        <v>2025</v>
      </c>
      <c r="C942">
        <v>50214208</v>
      </c>
      <c r="D942">
        <v>24</v>
      </c>
      <c r="E942">
        <v>0</v>
      </c>
      <c r="F942">
        <v>0</v>
      </c>
      <c r="G942">
        <v>0</v>
      </c>
      <c r="H942">
        <v>24</v>
      </c>
      <c r="I942" s="183" t="s">
        <v>1098</v>
      </c>
      <c r="J942" s="183" t="s">
        <v>12050</v>
      </c>
      <c r="K942">
        <v>0</v>
      </c>
      <c r="L942">
        <v>24</v>
      </c>
    </row>
    <row r="943" spans="1:12">
      <c r="A943" s="183" t="s">
        <v>2326</v>
      </c>
      <c r="B943" s="183" t="s">
        <v>2327</v>
      </c>
      <c r="C943">
        <v>50214502</v>
      </c>
      <c r="D943">
        <v>22</v>
      </c>
      <c r="E943">
        <v>0</v>
      </c>
      <c r="F943">
        <v>0</v>
      </c>
      <c r="G943">
        <v>0</v>
      </c>
      <c r="H943">
        <v>22</v>
      </c>
      <c r="I943" s="183" t="s">
        <v>1098</v>
      </c>
      <c r="J943" s="183" t="s">
        <v>12056</v>
      </c>
      <c r="K943">
        <v>0</v>
      </c>
      <c r="L943">
        <v>22</v>
      </c>
    </row>
    <row r="944" spans="1:12">
      <c r="A944" s="183" t="s">
        <v>8216</v>
      </c>
      <c r="B944" s="183" t="s">
        <v>8217</v>
      </c>
      <c r="C944">
        <v>50214517</v>
      </c>
      <c r="D944">
        <v>49</v>
      </c>
      <c r="E944">
        <v>0</v>
      </c>
      <c r="F944">
        <v>0</v>
      </c>
      <c r="G944">
        <v>0</v>
      </c>
      <c r="H944">
        <v>49</v>
      </c>
      <c r="I944" s="183" t="s">
        <v>1098</v>
      </c>
      <c r="J944" s="183" t="s">
        <v>12091</v>
      </c>
      <c r="K944">
        <v>0</v>
      </c>
      <c r="L944">
        <v>49</v>
      </c>
    </row>
    <row r="945" spans="1:12">
      <c r="A945" s="183" t="s">
        <v>1682</v>
      </c>
      <c r="B945" s="183" t="s">
        <v>1683</v>
      </c>
      <c r="C945">
        <v>50215101</v>
      </c>
      <c r="D945">
        <v>21</v>
      </c>
      <c r="E945">
        <v>0</v>
      </c>
      <c r="F945">
        <v>0</v>
      </c>
      <c r="G945">
        <v>0</v>
      </c>
      <c r="H945">
        <v>21</v>
      </c>
      <c r="I945" s="183" t="s">
        <v>1098</v>
      </c>
      <c r="J945" s="183" t="s">
        <v>12067</v>
      </c>
      <c r="K945">
        <v>0</v>
      </c>
      <c r="L945">
        <v>21</v>
      </c>
    </row>
    <row r="946" spans="1:12">
      <c r="A946" s="183" t="s">
        <v>1834</v>
      </c>
      <c r="B946" s="183" t="s">
        <v>1835</v>
      </c>
      <c r="C946">
        <v>50215108</v>
      </c>
      <c r="D946">
        <v>40</v>
      </c>
      <c r="E946">
        <v>0</v>
      </c>
      <c r="F946">
        <v>0</v>
      </c>
      <c r="G946">
        <v>0</v>
      </c>
      <c r="H946">
        <v>40</v>
      </c>
      <c r="I946" s="183" t="s">
        <v>1098</v>
      </c>
      <c r="J946" s="183" t="s">
        <v>12091</v>
      </c>
      <c r="K946">
        <v>0</v>
      </c>
      <c r="L946">
        <v>40</v>
      </c>
    </row>
    <row r="947" spans="1:12">
      <c r="A947" s="183" t="s">
        <v>1846</v>
      </c>
      <c r="B947" s="183" t="s">
        <v>1847</v>
      </c>
      <c r="C947">
        <v>50215110</v>
      </c>
      <c r="D947">
        <v>50</v>
      </c>
      <c r="E947">
        <v>0</v>
      </c>
      <c r="F947">
        <v>0</v>
      </c>
      <c r="G947">
        <v>0</v>
      </c>
      <c r="H947">
        <v>50</v>
      </c>
      <c r="I947" s="183" t="s">
        <v>1098</v>
      </c>
      <c r="J947" s="183" t="s">
        <v>12056</v>
      </c>
      <c r="K947">
        <v>0</v>
      </c>
      <c r="L947">
        <v>50</v>
      </c>
    </row>
    <row r="948" spans="1:12">
      <c r="A948" s="183" t="s">
        <v>8210</v>
      </c>
      <c r="B948" s="183" t="s">
        <v>8211</v>
      </c>
      <c r="C948">
        <v>50215216</v>
      </c>
      <c r="D948">
        <v>36</v>
      </c>
      <c r="E948">
        <v>0</v>
      </c>
      <c r="F948">
        <v>0</v>
      </c>
      <c r="G948">
        <v>0</v>
      </c>
      <c r="H948">
        <v>36</v>
      </c>
      <c r="I948" s="183" t="s">
        <v>1098</v>
      </c>
      <c r="J948" s="183" t="s">
        <v>12052</v>
      </c>
      <c r="K948">
        <v>0</v>
      </c>
      <c r="L948">
        <v>36</v>
      </c>
    </row>
    <row r="949" spans="1:12">
      <c r="A949" s="183" t="s">
        <v>1859</v>
      </c>
      <c r="B949" s="183" t="s">
        <v>1860</v>
      </c>
      <c r="C949">
        <v>50215302</v>
      </c>
      <c r="D949">
        <v>37</v>
      </c>
      <c r="E949">
        <v>0</v>
      </c>
      <c r="F949">
        <v>0</v>
      </c>
      <c r="G949">
        <v>0</v>
      </c>
      <c r="H949">
        <v>37</v>
      </c>
      <c r="I949" s="183" t="s">
        <v>1098</v>
      </c>
      <c r="J949" s="183" t="s">
        <v>12057</v>
      </c>
      <c r="K949">
        <v>0</v>
      </c>
      <c r="L949">
        <v>37</v>
      </c>
    </row>
    <row r="950" spans="1:12">
      <c r="A950" s="183" t="s">
        <v>1353</v>
      </c>
      <c r="B950" s="183" t="s">
        <v>1354</v>
      </c>
      <c r="C950">
        <v>50216115</v>
      </c>
      <c r="D950">
        <v>47</v>
      </c>
      <c r="E950">
        <v>0</v>
      </c>
      <c r="F950">
        <v>0</v>
      </c>
      <c r="G950">
        <v>0</v>
      </c>
      <c r="H950">
        <v>47</v>
      </c>
      <c r="I950" s="183" t="s">
        <v>1098</v>
      </c>
      <c r="J950" s="183" t="s">
        <v>12059</v>
      </c>
      <c r="K950">
        <v>0</v>
      </c>
      <c r="L950">
        <v>47</v>
      </c>
    </row>
    <row r="951" spans="1:12">
      <c r="A951" s="183" t="s">
        <v>1526</v>
      </c>
      <c r="B951" s="183" t="s">
        <v>1527</v>
      </c>
      <c r="C951">
        <v>50216201</v>
      </c>
      <c r="D951">
        <v>46</v>
      </c>
      <c r="E951">
        <v>0</v>
      </c>
      <c r="F951">
        <v>0</v>
      </c>
      <c r="G951">
        <v>0</v>
      </c>
      <c r="H951">
        <v>46</v>
      </c>
      <c r="I951" s="183" t="s">
        <v>1098</v>
      </c>
      <c r="J951" s="183" t="s">
        <v>12060</v>
      </c>
      <c r="K951">
        <v>0</v>
      </c>
      <c r="L951">
        <v>46</v>
      </c>
    </row>
    <row r="952" spans="1:12">
      <c r="A952" s="183" t="s">
        <v>1361</v>
      </c>
      <c r="B952" s="183" t="s">
        <v>1362</v>
      </c>
      <c r="C952">
        <v>50216203</v>
      </c>
      <c r="D952">
        <v>45</v>
      </c>
      <c r="E952">
        <v>0</v>
      </c>
      <c r="F952">
        <v>0</v>
      </c>
      <c r="G952">
        <v>0</v>
      </c>
      <c r="H952">
        <v>45</v>
      </c>
      <c r="I952" s="183" t="s">
        <v>1098</v>
      </c>
      <c r="J952" s="183" t="s">
        <v>12052</v>
      </c>
      <c r="K952">
        <v>0</v>
      </c>
      <c r="L952">
        <v>45</v>
      </c>
    </row>
    <row r="953" spans="1:12">
      <c r="A953" s="183" t="s">
        <v>2179</v>
      </c>
      <c r="B953" s="183" t="s">
        <v>2180</v>
      </c>
      <c r="C953">
        <v>50216302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1098</v>
      </c>
      <c r="J953" s="183" t="s">
        <v>12091</v>
      </c>
      <c r="K953">
        <v>0</v>
      </c>
      <c r="L953">
        <v>48</v>
      </c>
    </row>
    <row r="954" spans="1:12">
      <c r="A954" s="183" t="s">
        <v>1874</v>
      </c>
      <c r="B954" s="183" t="s">
        <v>1875</v>
      </c>
      <c r="C954">
        <v>50216316</v>
      </c>
      <c r="D954">
        <v>45</v>
      </c>
      <c r="E954">
        <v>0</v>
      </c>
      <c r="F954">
        <v>0</v>
      </c>
      <c r="G954">
        <v>0</v>
      </c>
      <c r="H954">
        <v>45</v>
      </c>
      <c r="I954" s="183" t="s">
        <v>1098</v>
      </c>
      <c r="J954" s="183" t="s">
        <v>12052</v>
      </c>
      <c r="K954">
        <v>0</v>
      </c>
      <c r="L954">
        <v>45</v>
      </c>
    </row>
    <row r="955" spans="1:12">
      <c r="A955" s="183" t="s">
        <v>11857</v>
      </c>
      <c r="B955" s="183" t="s">
        <v>11858</v>
      </c>
      <c r="C955">
        <v>50217310</v>
      </c>
      <c r="D955">
        <v>50</v>
      </c>
      <c r="E955">
        <v>0</v>
      </c>
      <c r="F955">
        <v>0</v>
      </c>
      <c r="G955">
        <v>0</v>
      </c>
      <c r="H955">
        <v>50</v>
      </c>
      <c r="I955" s="183" t="s">
        <v>1098</v>
      </c>
      <c r="J955" s="183" t="s">
        <v>12053</v>
      </c>
      <c r="K955">
        <v>0</v>
      </c>
      <c r="L955">
        <v>50</v>
      </c>
    </row>
    <row r="956" spans="1:12">
      <c r="A956" s="183" t="s">
        <v>1518</v>
      </c>
      <c r="B956" s="183" t="s">
        <v>1519</v>
      </c>
      <c r="C956">
        <v>50217516</v>
      </c>
      <c r="D956">
        <v>20</v>
      </c>
      <c r="E956">
        <v>0</v>
      </c>
      <c r="F956">
        <v>0</v>
      </c>
      <c r="G956">
        <v>0</v>
      </c>
      <c r="H956">
        <v>20</v>
      </c>
      <c r="I956" s="183" t="s">
        <v>1098</v>
      </c>
      <c r="J956" s="183" t="s">
        <v>12054</v>
      </c>
      <c r="K956">
        <v>0</v>
      </c>
      <c r="L956">
        <v>20</v>
      </c>
    </row>
    <row r="957" spans="1:12">
      <c r="A957" s="183" t="s">
        <v>1867</v>
      </c>
      <c r="B957" s="183" t="s">
        <v>1868</v>
      </c>
      <c r="C957">
        <v>50218102</v>
      </c>
      <c r="D957">
        <v>50</v>
      </c>
      <c r="E957">
        <v>0</v>
      </c>
      <c r="F957">
        <v>0</v>
      </c>
      <c r="G957">
        <v>0</v>
      </c>
      <c r="H957">
        <v>50</v>
      </c>
      <c r="I957" s="183" t="s">
        <v>1098</v>
      </c>
      <c r="J957" s="183" t="s">
        <v>12056</v>
      </c>
      <c r="K957">
        <v>0</v>
      </c>
      <c r="L957">
        <v>50</v>
      </c>
    </row>
    <row r="958" spans="1:12">
      <c r="A958" s="183" t="s">
        <v>2491</v>
      </c>
      <c r="B958" s="183" t="s">
        <v>2492</v>
      </c>
      <c r="C958">
        <v>50218117</v>
      </c>
      <c r="D958">
        <v>38</v>
      </c>
      <c r="E958">
        <v>0</v>
      </c>
      <c r="F958">
        <v>0</v>
      </c>
      <c r="G958">
        <v>0</v>
      </c>
      <c r="H958">
        <v>38</v>
      </c>
      <c r="I958" s="183" t="s">
        <v>1098</v>
      </c>
      <c r="J958" s="183" t="s">
        <v>12057</v>
      </c>
      <c r="K958">
        <v>0</v>
      </c>
      <c r="L958">
        <v>38</v>
      </c>
    </row>
    <row r="959" spans="1:12">
      <c r="A959" s="183" t="s">
        <v>7282</v>
      </c>
      <c r="B959" s="183" t="s">
        <v>7283</v>
      </c>
      <c r="C959">
        <v>50218208</v>
      </c>
      <c r="D959">
        <v>39</v>
      </c>
      <c r="E959">
        <v>0</v>
      </c>
      <c r="F959">
        <v>0</v>
      </c>
      <c r="G959">
        <v>0</v>
      </c>
      <c r="H959">
        <v>39</v>
      </c>
      <c r="I959" s="183" t="s">
        <v>1098</v>
      </c>
      <c r="J959" s="183" t="s">
        <v>12060</v>
      </c>
      <c r="K959">
        <v>0</v>
      </c>
      <c r="L959">
        <v>39</v>
      </c>
    </row>
    <row r="960" spans="1:12">
      <c r="A960" s="183" t="s">
        <v>1841</v>
      </c>
      <c r="B960" s="183" t="s">
        <v>1842</v>
      </c>
      <c r="C960">
        <v>50218217</v>
      </c>
      <c r="D960">
        <v>26</v>
      </c>
      <c r="E960">
        <v>0</v>
      </c>
      <c r="F960">
        <v>0</v>
      </c>
      <c r="G960">
        <v>0</v>
      </c>
      <c r="H960">
        <v>26</v>
      </c>
      <c r="I960" s="183" t="s">
        <v>1098</v>
      </c>
      <c r="J960" s="183" t="s">
        <v>12054</v>
      </c>
      <c r="K960">
        <v>0</v>
      </c>
      <c r="L960">
        <v>26</v>
      </c>
    </row>
    <row r="961" spans="1:12">
      <c r="A961" s="183" t="s">
        <v>7008</v>
      </c>
      <c r="B961" s="183" t="s">
        <v>7009</v>
      </c>
      <c r="C961">
        <v>50218303</v>
      </c>
      <c r="D961">
        <v>29</v>
      </c>
      <c r="E961">
        <v>0</v>
      </c>
      <c r="F961">
        <v>0</v>
      </c>
      <c r="G961">
        <v>0</v>
      </c>
      <c r="H961">
        <v>29</v>
      </c>
      <c r="I961" s="183" t="s">
        <v>1098</v>
      </c>
      <c r="J961" s="183" t="s">
        <v>12061</v>
      </c>
      <c r="K961">
        <v>0</v>
      </c>
      <c r="L961">
        <v>29</v>
      </c>
    </row>
    <row r="962" spans="1:12">
      <c r="A962" s="183" t="s">
        <v>8477</v>
      </c>
      <c r="B962" s="183" t="s">
        <v>8478</v>
      </c>
      <c r="C962">
        <v>50219110</v>
      </c>
      <c r="D962">
        <v>50</v>
      </c>
      <c r="E962">
        <v>0</v>
      </c>
      <c r="F962">
        <v>0</v>
      </c>
      <c r="G962">
        <v>0</v>
      </c>
      <c r="H962">
        <v>50</v>
      </c>
      <c r="I962" s="183" t="s">
        <v>1098</v>
      </c>
      <c r="J962" s="183" t="s">
        <v>12056</v>
      </c>
      <c r="K962">
        <v>0</v>
      </c>
      <c r="L962">
        <v>50</v>
      </c>
    </row>
    <row r="963" spans="1:12">
      <c r="A963" s="183" t="s">
        <v>8920</v>
      </c>
      <c r="B963" s="183" t="s">
        <v>8921</v>
      </c>
      <c r="C963">
        <v>50219310</v>
      </c>
      <c r="D963">
        <v>50</v>
      </c>
      <c r="E963">
        <v>0</v>
      </c>
      <c r="F963">
        <v>0</v>
      </c>
      <c r="G963">
        <v>0</v>
      </c>
      <c r="H963">
        <v>50</v>
      </c>
      <c r="I963" s="183" t="s">
        <v>1098</v>
      </c>
      <c r="J963" s="183" t="s">
        <v>12054</v>
      </c>
      <c r="K963">
        <v>0</v>
      </c>
      <c r="L963">
        <v>50</v>
      </c>
    </row>
    <row r="964" spans="1:12">
      <c r="A964" s="183" t="s">
        <v>1662</v>
      </c>
      <c r="B964" s="183" t="s">
        <v>1663</v>
      </c>
      <c r="C964">
        <v>50220202</v>
      </c>
      <c r="D964">
        <v>56</v>
      </c>
      <c r="E964">
        <v>0</v>
      </c>
      <c r="F964">
        <v>0</v>
      </c>
      <c r="G964">
        <v>0</v>
      </c>
      <c r="H964">
        <v>56</v>
      </c>
      <c r="I964" s="183" t="s">
        <v>1098</v>
      </c>
      <c r="J964" s="183" t="s">
        <v>12056</v>
      </c>
      <c r="K964">
        <v>0</v>
      </c>
      <c r="L964">
        <v>56</v>
      </c>
    </row>
    <row r="965" spans="1:12">
      <c r="A965" s="183" t="s">
        <v>1357</v>
      </c>
      <c r="B965" s="183" t="s">
        <v>1358</v>
      </c>
      <c r="C965">
        <v>50220217</v>
      </c>
      <c r="D965">
        <v>42</v>
      </c>
      <c r="E965">
        <v>0</v>
      </c>
      <c r="F965">
        <v>0</v>
      </c>
      <c r="G965">
        <v>0</v>
      </c>
      <c r="H965">
        <v>42</v>
      </c>
      <c r="I965" s="183" t="s">
        <v>1098</v>
      </c>
      <c r="J965" s="183" t="s">
        <v>12058</v>
      </c>
      <c r="K965">
        <v>0</v>
      </c>
      <c r="L965">
        <v>42</v>
      </c>
    </row>
    <row r="966" spans="1:12">
      <c r="A966" s="183" t="s">
        <v>1852</v>
      </c>
      <c r="B966" s="183" t="s">
        <v>1853</v>
      </c>
      <c r="C966">
        <v>50220310</v>
      </c>
      <c r="D966">
        <v>40</v>
      </c>
      <c r="E966">
        <v>0</v>
      </c>
      <c r="F966">
        <v>0</v>
      </c>
      <c r="G966">
        <v>0</v>
      </c>
      <c r="H966">
        <v>40</v>
      </c>
      <c r="I966" s="183" t="s">
        <v>1098</v>
      </c>
      <c r="J966" s="183" t="s">
        <v>12061</v>
      </c>
      <c r="K966">
        <v>0</v>
      </c>
      <c r="L966">
        <v>40</v>
      </c>
    </row>
    <row r="967" spans="1:12">
      <c r="A967" s="183" t="s">
        <v>8172</v>
      </c>
      <c r="B967" s="183" t="s">
        <v>8173</v>
      </c>
      <c r="C967">
        <v>50220315</v>
      </c>
      <c r="D967">
        <v>48</v>
      </c>
      <c r="E967">
        <v>0</v>
      </c>
      <c r="F967">
        <v>0</v>
      </c>
      <c r="G967">
        <v>0</v>
      </c>
      <c r="H967">
        <v>48</v>
      </c>
      <c r="I967" s="183" t="s">
        <v>1098</v>
      </c>
      <c r="J967" s="183" t="s">
        <v>12052</v>
      </c>
      <c r="K967">
        <v>0</v>
      </c>
      <c r="L967">
        <v>48</v>
      </c>
    </row>
    <row r="968" spans="1:12">
      <c r="A968" s="183" t="s">
        <v>2319</v>
      </c>
      <c r="B968" s="183" t="s">
        <v>2320</v>
      </c>
      <c r="C968">
        <v>50221117</v>
      </c>
      <c r="D968">
        <v>45</v>
      </c>
      <c r="E968">
        <v>0</v>
      </c>
      <c r="F968">
        <v>0</v>
      </c>
      <c r="G968">
        <v>0</v>
      </c>
      <c r="H968">
        <v>45</v>
      </c>
      <c r="I968" s="183" t="s">
        <v>1098</v>
      </c>
      <c r="J968" s="183" t="s">
        <v>12052</v>
      </c>
      <c r="K968">
        <v>0</v>
      </c>
      <c r="L968">
        <v>45</v>
      </c>
    </row>
    <row r="969" spans="1:12">
      <c r="A969" s="183" t="s">
        <v>1363</v>
      </c>
      <c r="B969" s="183" t="s">
        <v>1364</v>
      </c>
      <c r="C969">
        <v>50221217</v>
      </c>
      <c r="D969">
        <v>38</v>
      </c>
      <c r="E969">
        <v>0</v>
      </c>
      <c r="F969">
        <v>0</v>
      </c>
      <c r="G969">
        <v>0</v>
      </c>
      <c r="H969">
        <v>38</v>
      </c>
      <c r="I969" s="183" t="s">
        <v>1098</v>
      </c>
      <c r="J969" s="183" t="s">
        <v>12056</v>
      </c>
      <c r="K969">
        <v>0</v>
      </c>
      <c r="L969">
        <v>38</v>
      </c>
    </row>
    <row r="970" spans="1:12">
      <c r="A970" s="183" t="s">
        <v>2316</v>
      </c>
      <c r="B970" s="183" t="s">
        <v>2317</v>
      </c>
      <c r="C970">
        <v>50222202</v>
      </c>
      <c r="D970">
        <v>48</v>
      </c>
      <c r="E970">
        <v>0</v>
      </c>
      <c r="F970">
        <v>0</v>
      </c>
      <c r="G970">
        <v>0</v>
      </c>
      <c r="H970">
        <v>48</v>
      </c>
      <c r="I970" s="183" t="s">
        <v>1098</v>
      </c>
      <c r="J970" s="183" t="s">
        <v>12061</v>
      </c>
      <c r="K970">
        <v>0</v>
      </c>
      <c r="L970">
        <v>48</v>
      </c>
    </row>
    <row r="971" spans="1:12">
      <c r="A971" s="183" t="s">
        <v>6918</v>
      </c>
      <c r="B971" s="183" t="s">
        <v>6919</v>
      </c>
      <c r="C971">
        <v>50223108</v>
      </c>
      <c r="D971">
        <v>47</v>
      </c>
      <c r="E971">
        <v>0</v>
      </c>
      <c r="F971">
        <v>0</v>
      </c>
      <c r="G971">
        <v>0</v>
      </c>
      <c r="H971">
        <v>47</v>
      </c>
      <c r="I971" s="183" t="s">
        <v>1098</v>
      </c>
      <c r="J971" s="183" t="s">
        <v>12054</v>
      </c>
      <c r="K971">
        <v>0</v>
      </c>
      <c r="L971">
        <v>47</v>
      </c>
    </row>
    <row r="972" spans="1:12">
      <c r="A972" s="183" t="s">
        <v>2018</v>
      </c>
      <c r="B972" s="183" t="s">
        <v>2019</v>
      </c>
      <c r="C972">
        <v>50223215</v>
      </c>
      <c r="D972">
        <v>50</v>
      </c>
      <c r="E972">
        <v>0</v>
      </c>
      <c r="F972">
        <v>0</v>
      </c>
      <c r="G972">
        <v>0</v>
      </c>
      <c r="H972">
        <v>50</v>
      </c>
      <c r="I972" s="183" t="s">
        <v>1098</v>
      </c>
      <c r="J972" s="183" t="s">
        <v>12052</v>
      </c>
      <c r="K972">
        <v>0</v>
      </c>
      <c r="L972">
        <v>50</v>
      </c>
    </row>
    <row r="973" spans="1:12">
      <c r="A973" s="183" t="s">
        <v>8214</v>
      </c>
      <c r="B973" s="183" t="s">
        <v>8215</v>
      </c>
      <c r="C973">
        <v>50223310</v>
      </c>
      <c r="D973">
        <v>59</v>
      </c>
      <c r="E973">
        <v>0</v>
      </c>
      <c r="F973">
        <v>0</v>
      </c>
      <c r="G973">
        <v>0</v>
      </c>
      <c r="H973">
        <v>59</v>
      </c>
      <c r="I973" s="183" t="s">
        <v>1098</v>
      </c>
      <c r="J973" s="183" t="s">
        <v>12061</v>
      </c>
      <c r="K973">
        <v>0</v>
      </c>
      <c r="L973">
        <v>59</v>
      </c>
    </row>
    <row r="974" spans="1:12">
      <c r="A974" s="183" t="s">
        <v>7545</v>
      </c>
      <c r="B974" s="183" t="s">
        <v>7546</v>
      </c>
      <c r="C974">
        <v>50224417</v>
      </c>
      <c r="D974">
        <v>144</v>
      </c>
      <c r="E974">
        <v>0</v>
      </c>
      <c r="F974">
        <v>0</v>
      </c>
      <c r="G974">
        <v>0</v>
      </c>
      <c r="H974">
        <v>144</v>
      </c>
      <c r="I974" s="183" t="s">
        <v>1098</v>
      </c>
      <c r="J974" s="183" t="s">
        <v>12060</v>
      </c>
      <c r="K974">
        <v>0</v>
      </c>
      <c r="L974">
        <v>144</v>
      </c>
    </row>
    <row r="975" spans="1:12">
      <c r="A975" s="183" t="s">
        <v>1365</v>
      </c>
      <c r="B975" s="183" t="s">
        <v>1366</v>
      </c>
      <c r="C975">
        <v>50226101</v>
      </c>
      <c r="D975">
        <v>50</v>
      </c>
      <c r="E975">
        <v>0</v>
      </c>
      <c r="F975">
        <v>0</v>
      </c>
      <c r="G975">
        <v>0</v>
      </c>
      <c r="H975">
        <v>50</v>
      </c>
      <c r="I975" s="183" t="s">
        <v>1098</v>
      </c>
      <c r="J975" s="183" t="s">
        <v>12061</v>
      </c>
      <c r="K975">
        <v>0</v>
      </c>
      <c r="L975">
        <v>50</v>
      </c>
    </row>
    <row r="976" spans="1:12">
      <c r="A976" s="183" t="s">
        <v>1856</v>
      </c>
      <c r="B976" s="183" t="s">
        <v>1857</v>
      </c>
      <c r="C976">
        <v>50226103</v>
      </c>
      <c r="D976">
        <v>49</v>
      </c>
      <c r="E976">
        <v>0</v>
      </c>
      <c r="F976">
        <v>0</v>
      </c>
      <c r="G976">
        <v>0</v>
      </c>
      <c r="H976">
        <v>49</v>
      </c>
      <c r="I976" s="183" t="s">
        <v>1098</v>
      </c>
      <c r="J976" s="183" t="s">
        <v>12054</v>
      </c>
      <c r="K976">
        <v>0</v>
      </c>
      <c r="L976">
        <v>49</v>
      </c>
    </row>
    <row r="977" spans="1:12">
      <c r="A977" s="183" t="s">
        <v>8212</v>
      </c>
      <c r="B977" s="183" t="s">
        <v>8213</v>
      </c>
      <c r="C977">
        <v>50226116</v>
      </c>
      <c r="D977">
        <v>46</v>
      </c>
      <c r="E977">
        <v>0</v>
      </c>
      <c r="F977">
        <v>0</v>
      </c>
      <c r="G977">
        <v>0</v>
      </c>
      <c r="H977">
        <v>46</v>
      </c>
      <c r="I977" s="183" t="s">
        <v>1098</v>
      </c>
      <c r="J977" s="183" t="s">
        <v>12061</v>
      </c>
      <c r="K977">
        <v>0</v>
      </c>
      <c r="L977">
        <v>46</v>
      </c>
    </row>
    <row r="978" spans="1:12">
      <c r="A978" s="183" t="s">
        <v>8208</v>
      </c>
      <c r="B978" s="183" t="s">
        <v>8209</v>
      </c>
      <c r="C978">
        <v>50226216</v>
      </c>
      <c r="D978">
        <v>46</v>
      </c>
      <c r="E978">
        <v>0</v>
      </c>
      <c r="F978">
        <v>0</v>
      </c>
      <c r="G978">
        <v>0</v>
      </c>
      <c r="H978">
        <v>46</v>
      </c>
      <c r="I978" s="183" t="s">
        <v>1098</v>
      </c>
      <c r="J978" s="183" t="s">
        <v>12058</v>
      </c>
      <c r="K978">
        <v>0</v>
      </c>
      <c r="L978">
        <v>46</v>
      </c>
    </row>
    <row r="979" spans="1:12">
      <c r="A979" s="183" t="s">
        <v>2030</v>
      </c>
      <c r="B979" s="183" t="s">
        <v>2031</v>
      </c>
      <c r="C979">
        <v>50226302</v>
      </c>
      <c r="D979">
        <v>47</v>
      </c>
      <c r="E979">
        <v>0</v>
      </c>
      <c r="F979">
        <v>0</v>
      </c>
      <c r="G979">
        <v>0</v>
      </c>
      <c r="H979">
        <v>47</v>
      </c>
      <c r="I979" s="183" t="s">
        <v>1098</v>
      </c>
      <c r="J979" s="183" t="s">
        <v>12057</v>
      </c>
      <c r="K979">
        <v>0</v>
      </c>
      <c r="L979">
        <v>47</v>
      </c>
    </row>
    <row r="980" spans="1:12">
      <c r="A980" s="183" t="s">
        <v>2495</v>
      </c>
      <c r="B980" s="183" t="s">
        <v>2496</v>
      </c>
      <c r="C980">
        <v>50226308</v>
      </c>
      <c r="D980">
        <v>50</v>
      </c>
      <c r="E980">
        <v>0</v>
      </c>
      <c r="F980">
        <v>0</v>
      </c>
      <c r="G980">
        <v>0</v>
      </c>
      <c r="H980">
        <v>50</v>
      </c>
      <c r="I980" s="183" t="s">
        <v>1098</v>
      </c>
      <c r="J980" s="183" t="s">
        <v>12050</v>
      </c>
      <c r="K980">
        <v>0</v>
      </c>
      <c r="L980">
        <v>50</v>
      </c>
    </row>
    <row r="981" spans="1:12">
      <c r="A981" s="183" t="s">
        <v>1664</v>
      </c>
      <c r="B981" s="183" t="s">
        <v>1665</v>
      </c>
      <c r="C981">
        <v>50228308</v>
      </c>
      <c r="D981">
        <v>50</v>
      </c>
      <c r="E981">
        <v>0</v>
      </c>
      <c r="F981">
        <v>0</v>
      </c>
      <c r="G981">
        <v>0</v>
      </c>
      <c r="H981">
        <v>50</v>
      </c>
      <c r="I981" s="183" t="s">
        <v>1098</v>
      </c>
      <c r="J981" s="183" t="s">
        <v>12055</v>
      </c>
      <c r="K981">
        <v>0</v>
      </c>
      <c r="L981">
        <v>50</v>
      </c>
    </row>
    <row r="982" spans="1:12">
      <c r="A982" s="183" t="s">
        <v>8479</v>
      </c>
      <c r="B982" s="183" t="s">
        <v>8480</v>
      </c>
      <c r="C982">
        <v>50228315</v>
      </c>
      <c r="D982">
        <v>50</v>
      </c>
      <c r="E982">
        <v>0</v>
      </c>
      <c r="F982">
        <v>0</v>
      </c>
      <c r="G982">
        <v>0</v>
      </c>
      <c r="H982">
        <v>50</v>
      </c>
      <c r="I982" s="183" t="s">
        <v>1098</v>
      </c>
      <c r="J982" s="183" t="s">
        <v>12052</v>
      </c>
      <c r="K982">
        <v>0</v>
      </c>
      <c r="L982">
        <v>50</v>
      </c>
    </row>
    <row r="983" spans="1:12">
      <c r="A983" s="183" t="s">
        <v>1690</v>
      </c>
      <c r="B983" s="183" t="s">
        <v>1691</v>
      </c>
      <c r="C983">
        <v>50228502</v>
      </c>
      <c r="D983">
        <v>35</v>
      </c>
      <c r="E983">
        <v>0</v>
      </c>
      <c r="F983">
        <v>0</v>
      </c>
      <c r="G983">
        <v>0</v>
      </c>
      <c r="H983">
        <v>35</v>
      </c>
      <c r="I983" s="183" t="s">
        <v>1098</v>
      </c>
      <c r="J983" s="183" t="s">
        <v>12052</v>
      </c>
      <c r="K983">
        <v>0</v>
      </c>
      <c r="L983">
        <v>35</v>
      </c>
    </row>
    <row r="984" spans="1:12">
      <c r="A984" s="183" t="s">
        <v>1879</v>
      </c>
      <c r="B984" s="183" t="s">
        <v>1880</v>
      </c>
      <c r="C984">
        <v>50230217</v>
      </c>
      <c r="D984">
        <v>76</v>
      </c>
      <c r="E984">
        <v>0</v>
      </c>
      <c r="F984">
        <v>0</v>
      </c>
      <c r="G984">
        <v>0</v>
      </c>
      <c r="H984">
        <v>76</v>
      </c>
      <c r="I984" s="183" t="s">
        <v>1098</v>
      </c>
      <c r="J984" s="183" t="s">
        <v>12050</v>
      </c>
      <c r="K984">
        <v>0</v>
      </c>
      <c r="L984">
        <v>76</v>
      </c>
    </row>
    <row r="985" spans="1:12">
      <c r="A985" s="183" t="s">
        <v>2104</v>
      </c>
      <c r="B985" s="183" t="s">
        <v>2105</v>
      </c>
      <c r="C985">
        <v>50206108</v>
      </c>
      <c r="D985">
        <v>66</v>
      </c>
      <c r="E985">
        <v>0</v>
      </c>
      <c r="F985">
        <v>0</v>
      </c>
      <c r="G985">
        <v>0</v>
      </c>
      <c r="H985">
        <v>66</v>
      </c>
      <c r="I985" s="183" t="s">
        <v>1098</v>
      </c>
      <c r="J985" s="183" t="s">
        <v>12056</v>
      </c>
      <c r="K985">
        <v>0</v>
      </c>
      <c r="L985">
        <v>66</v>
      </c>
    </row>
    <row r="986" spans="1:12">
      <c r="A986" s="183" t="s">
        <v>2636</v>
      </c>
      <c r="B986" s="183" t="s">
        <v>2637</v>
      </c>
      <c r="C986">
        <v>50206115</v>
      </c>
      <c r="D986">
        <v>55</v>
      </c>
      <c r="E986">
        <v>0</v>
      </c>
      <c r="F986">
        <v>0</v>
      </c>
      <c r="G986">
        <v>0</v>
      </c>
      <c r="H986">
        <v>55</v>
      </c>
      <c r="I986" s="183" t="s">
        <v>1098</v>
      </c>
      <c r="J986" s="183" t="s">
        <v>12052</v>
      </c>
      <c r="K986">
        <v>0</v>
      </c>
      <c r="L986">
        <v>55</v>
      </c>
    </row>
    <row r="987" spans="1:12">
      <c r="A987" s="183" t="s">
        <v>2402</v>
      </c>
      <c r="B987" s="183" t="s">
        <v>2403</v>
      </c>
      <c r="C987">
        <v>50206401</v>
      </c>
      <c r="D987">
        <v>50</v>
      </c>
      <c r="E987">
        <v>0</v>
      </c>
      <c r="F987">
        <v>0</v>
      </c>
      <c r="G987">
        <v>0</v>
      </c>
      <c r="H987">
        <v>50</v>
      </c>
      <c r="I987" s="183" t="s">
        <v>1098</v>
      </c>
      <c r="J987" s="183" t="s">
        <v>12061</v>
      </c>
      <c r="K987">
        <v>0</v>
      </c>
      <c r="L987">
        <v>50</v>
      </c>
    </row>
    <row r="988" spans="1:12">
      <c r="A988" s="183" t="s">
        <v>2430</v>
      </c>
      <c r="B988" s="183" t="s">
        <v>2431</v>
      </c>
      <c r="C988">
        <v>50206403</v>
      </c>
      <c r="D988">
        <v>50</v>
      </c>
      <c r="E988">
        <v>0</v>
      </c>
      <c r="F988">
        <v>0</v>
      </c>
      <c r="G988">
        <v>0</v>
      </c>
      <c r="H988">
        <v>50</v>
      </c>
      <c r="I988" s="183" t="s">
        <v>1098</v>
      </c>
      <c r="J988" s="183" t="s">
        <v>12061</v>
      </c>
      <c r="K988">
        <v>0</v>
      </c>
      <c r="L988">
        <v>50</v>
      </c>
    </row>
    <row r="989" spans="1:12">
      <c r="A989" s="183" t="s">
        <v>2269</v>
      </c>
      <c r="B989" s="183" t="s">
        <v>2270</v>
      </c>
      <c r="C989">
        <v>50207215</v>
      </c>
      <c r="D989">
        <v>48</v>
      </c>
      <c r="E989">
        <v>0</v>
      </c>
      <c r="F989">
        <v>0</v>
      </c>
      <c r="G989">
        <v>0</v>
      </c>
      <c r="H989">
        <v>48</v>
      </c>
      <c r="I989" s="183" t="s">
        <v>1098</v>
      </c>
      <c r="J989" s="183" t="s">
        <v>12055</v>
      </c>
      <c r="K989">
        <v>0</v>
      </c>
      <c r="L989">
        <v>48</v>
      </c>
    </row>
    <row r="990" spans="1:12">
      <c r="A990" s="183" t="s">
        <v>8515</v>
      </c>
      <c r="B990" s="183" t="s">
        <v>8516</v>
      </c>
      <c r="C990">
        <v>50207315</v>
      </c>
      <c r="D990">
        <v>49</v>
      </c>
      <c r="E990">
        <v>0</v>
      </c>
      <c r="F990">
        <v>0</v>
      </c>
      <c r="G990">
        <v>0</v>
      </c>
      <c r="H990">
        <v>49</v>
      </c>
      <c r="I990" s="183" t="s">
        <v>1098</v>
      </c>
      <c r="J990" s="183" t="s">
        <v>12050</v>
      </c>
      <c r="K990">
        <v>0</v>
      </c>
      <c r="L990">
        <v>49</v>
      </c>
    </row>
    <row r="991" spans="1:12">
      <c r="A991" s="183" t="s">
        <v>8461</v>
      </c>
      <c r="B991" s="183" t="s">
        <v>8462</v>
      </c>
      <c r="C991">
        <v>50208202</v>
      </c>
      <c r="D991">
        <v>49</v>
      </c>
      <c r="E991">
        <v>0</v>
      </c>
      <c r="F991">
        <v>0</v>
      </c>
      <c r="G991">
        <v>0</v>
      </c>
      <c r="H991">
        <v>49</v>
      </c>
      <c r="I991" s="183" t="s">
        <v>1098</v>
      </c>
      <c r="J991" s="183" t="s">
        <v>12060</v>
      </c>
      <c r="K991">
        <v>0</v>
      </c>
      <c r="L991">
        <v>49</v>
      </c>
    </row>
    <row r="992" spans="1:12">
      <c r="A992" s="183" t="s">
        <v>8906</v>
      </c>
      <c r="B992" s="183" t="s">
        <v>8907</v>
      </c>
      <c r="C992">
        <v>50208310</v>
      </c>
      <c r="D992">
        <v>50</v>
      </c>
      <c r="E992">
        <v>0</v>
      </c>
      <c r="F992">
        <v>0</v>
      </c>
      <c r="G992">
        <v>0</v>
      </c>
      <c r="H992">
        <v>50</v>
      </c>
      <c r="I992" s="183" t="s">
        <v>1098</v>
      </c>
      <c r="J992" s="183" t="s">
        <v>12055</v>
      </c>
      <c r="K992">
        <v>0</v>
      </c>
      <c r="L992">
        <v>50</v>
      </c>
    </row>
    <row r="993" spans="1:12">
      <c r="A993" s="183" t="s">
        <v>8356</v>
      </c>
      <c r="B993" s="183" t="s">
        <v>8357</v>
      </c>
      <c r="C993">
        <v>50208316</v>
      </c>
      <c r="D993">
        <v>49</v>
      </c>
      <c r="E993">
        <v>0</v>
      </c>
      <c r="F993">
        <v>0</v>
      </c>
      <c r="G993">
        <v>0</v>
      </c>
      <c r="H993">
        <v>49</v>
      </c>
      <c r="I993" s="183" t="s">
        <v>1098</v>
      </c>
      <c r="J993" s="183" t="s">
        <v>12054</v>
      </c>
      <c r="K993">
        <v>0</v>
      </c>
      <c r="L993">
        <v>49</v>
      </c>
    </row>
    <row r="994" spans="1:12">
      <c r="A994" s="183" t="s">
        <v>2107</v>
      </c>
      <c r="B994" s="183" t="s">
        <v>2108</v>
      </c>
      <c r="C994">
        <v>50209103</v>
      </c>
      <c r="D994">
        <v>49</v>
      </c>
      <c r="E994">
        <v>0</v>
      </c>
      <c r="F994">
        <v>0</v>
      </c>
      <c r="G994">
        <v>0</v>
      </c>
      <c r="H994">
        <v>49</v>
      </c>
      <c r="I994" s="183" t="s">
        <v>1098</v>
      </c>
      <c r="J994" s="183" t="s">
        <v>12054</v>
      </c>
      <c r="K994">
        <v>0</v>
      </c>
      <c r="L994">
        <v>49</v>
      </c>
    </row>
    <row r="995" spans="1:12">
      <c r="A995" s="183" t="s">
        <v>8436</v>
      </c>
      <c r="B995" s="183" t="s">
        <v>8437</v>
      </c>
      <c r="C995">
        <v>50209316</v>
      </c>
      <c r="D995">
        <v>49</v>
      </c>
      <c r="E995">
        <v>0</v>
      </c>
      <c r="F995">
        <v>0</v>
      </c>
      <c r="G995">
        <v>0</v>
      </c>
      <c r="H995">
        <v>49</v>
      </c>
      <c r="I995" s="183" t="s">
        <v>1098</v>
      </c>
      <c r="J995" s="183" t="s">
        <v>12061</v>
      </c>
      <c r="K995">
        <v>0</v>
      </c>
      <c r="L995">
        <v>49</v>
      </c>
    </row>
    <row r="996" spans="1:12">
      <c r="A996" s="183" t="s">
        <v>8467</v>
      </c>
      <c r="B996" s="183" t="s">
        <v>8468</v>
      </c>
      <c r="C996">
        <v>50209517</v>
      </c>
      <c r="D996">
        <v>28</v>
      </c>
      <c r="E996">
        <v>0</v>
      </c>
      <c r="F996">
        <v>0</v>
      </c>
      <c r="G996">
        <v>0</v>
      </c>
      <c r="H996">
        <v>28</v>
      </c>
      <c r="I996" s="183" t="s">
        <v>1098</v>
      </c>
      <c r="J996" s="183" t="s">
        <v>12052</v>
      </c>
      <c r="K996">
        <v>0</v>
      </c>
      <c r="L996">
        <v>28</v>
      </c>
    </row>
    <row r="997" spans="1:12">
      <c r="A997" s="183" t="s">
        <v>2649</v>
      </c>
      <c r="B997" s="183" t="s">
        <v>2650</v>
      </c>
      <c r="C997">
        <v>50210101</v>
      </c>
      <c r="D997">
        <v>48</v>
      </c>
      <c r="E997">
        <v>0</v>
      </c>
      <c r="F997">
        <v>0</v>
      </c>
      <c r="G997">
        <v>0</v>
      </c>
      <c r="H997">
        <v>48</v>
      </c>
      <c r="I997" s="183" t="s">
        <v>1098</v>
      </c>
      <c r="J997" s="183" t="s">
        <v>12056</v>
      </c>
      <c r="K997">
        <v>0</v>
      </c>
      <c r="L997">
        <v>48</v>
      </c>
    </row>
    <row r="998" spans="1:12">
      <c r="A998" s="183" t="s">
        <v>2262</v>
      </c>
      <c r="B998" s="183" t="s">
        <v>2263</v>
      </c>
      <c r="C998">
        <v>50210103</v>
      </c>
      <c r="D998">
        <v>48</v>
      </c>
      <c r="E998">
        <v>0</v>
      </c>
      <c r="F998">
        <v>0</v>
      </c>
      <c r="G998">
        <v>0</v>
      </c>
      <c r="H998">
        <v>48</v>
      </c>
      <c r="I998" s="183" t="s">
        <v>1098</v>
      </c>
      <c r="J998" s="183" t="s">
        <v>12057</v>
      </c>
      <c r="K998">
        <v>0</v>
      </c>
      <c r="L998">
        <v>48</v>
      </c>
    </row>
    <row r="999" spans="1:12">
      <c r="A999" s="183" t="s">
        <v>2644</v>
      </c>
      <c r="B999" s="183" t="s">
        <v>2645</v>
      </c>
      <c r="C999">
        <v>50210108</v>
      </c>
      <c r="D999">
        <v>65</v>
      </c>
      <c r="E999">
        <v>0</v>
      </c>
      <c r="F999">
        <v>0</v>
      </c>
      <c r="G999">
        <v>0</v>
      </c>
      <c r="H999">
        <v>65</v>
      </c>
      <c r="I999" s="183" t="s">
        <v>1098</v>
      </c>
      <c r="J999" s="183" t="s">
        <v>12060</v>
      </c>
      <c r="K999">
        <v>0</v>
      </c>
      <c r="L999">
        <v>65</v>
      </c>
    </row>
    <row r="1000" spans="1:12">
      <c r="A1000" s="183" t="s">
        <v>2653</v>
      </c>
      <c r="B1000" s="183" t="s">
        <v>2654</v>
      </c>
      <c r="C1000">
        <v>50210115</v>
      </c>
      <c r="D1000">
        <v>89</v>
      </c>
      <c r="E1000">
        <v>0</v>
      </c>
      <c r="F1000">
        <v>0</v>
      </c>
      <c r="G1000">
        <v>0</v>
      </c>
      <c r="H1000">
        <v>89</v>
      </c>
      <c r="I1000" s="183" t="s">
        <v>1098</v>
      </c>
      <c r="J1000" s="183" t="s">
        <v>12058</v>
      </c>
      <c r="K1000">
        <v>0</v>
      </c>
      <c r="L1000">
        <v>89</v>
      </c>
    </row>
    <row r="1001" spans="1:12">
      <c r="A1001" s="183" t="s">
        <v>8045</v>
      </c>
      <c r="B1001" s="183" t="s">
        <v>8046</v>
      </c>
      <c r="C1001">
        <v>50210417</v>
      </c>
      <c r="D1001">
        <v>60</v>
      </c>
      <c r="E1001">
        <v>0</v>
      </c>
      <c r="F1001">
        <v>0</v>
      </c>
      <c r="G1001">
        <v>0</v>
      </c>
      <c r="H1001">
        <v>60</v>
      </c>
      <c r="I1001" s="183" t="s">
        <v>1098</v>
      </c>
      <c r="J1001" s="183" t="s">
        <v>12050</v>
      </c>
      <c r="K1001">
        <v>0</v>
      </c>
      <c r="L1001">
        <v>60</v>
      </c>
    </row>
    <row r="1002" spans="1:12">
      <c r="A1002" s="183" t="s">
        <v>8328</v>
      </c>
      <c r="B1002" s="183" t="s">
        <v>8329</v>
      </c>
      <c r="C1002">
        <v>50210517</v>
      </c>
      <c r="D1002">
        <v>62</v>
      </c>
      <c r="E1002">
        <v>0</v>
      </c>
      <c r="F1002">
        <v>0</v>
      </c>
      <c r="G1002">
        <v>0</v>
      </c>
      <c r="H1002">
        <v>62</v>
      </c>
      <c r="I1002" s="183" t="s">
        <v>1098</v>
      </c>
      <c r="J1002" s="183" t="s">
        <v>12057</v>
      </c>
      <c r="K1002">
        <v>0</v>
      </c>
      <c r="L1002">
        <v>62</v>
      </c>
    </row>
    <row r="1003" spans="1:12">
      <c r="A1003" s="183" t="s">
        <v>1620</v>
      </c>
      <c r="B1003" s="183" t="s">
        <v>1621</v>
      </c>
      <c r="C1003">
        <v>50211116</v>
      </c>
      <c r="D1003">
        <v>46</v>
      </c>
      <c r="E1003">
        <v>0</v>
      </c>
      <c r="F1003">
        <v>0</v>
      </c>
      <c r="G1003">
        <v>0</v>
      </c>
      <c r="H1003">
        <v>46</v>
      </c>
      <c r="I1003" s="183" t="s">
        <v>1098</v>
      </c>
      <c r="J1003" s="183" t="s">
        <v>12057</v>
      </c>
      <c r="K1003">
        <v>0</v>
      </c>
      <c r="L1003">
        <v>46</v>
      </c>
    </row>
    <row r="1004" spans="1:12">
      <c r="A1004" s="183" t="s">
        <v>8463</v>
      </c>
      <c r="B1004" s="183" t="s">
        <v>8464</v>
      </c>
      <c r="C1004">
        <v>50211201</v>
      </c>
      <c r="D1004">
        <v>64</v>
      </c>
      <c r="E1004">
        <v>0</v>
      </c>
      <c r="F1004">
        <v>0</v>
      </c>
      <c r="G1004">
        <v>0</v>
      </c>
      <c r="H1004">
        <v>64</v>
      </c>
      <c r="I1004" s="183" t="s">
        <v>1098</v>
      </c>
      <c r="J1004" s="183" t="s">
        <v>12052</v>
      </c>
      <c r="K1004">
        <v>0</v>
      </c>
      <c r="L1004">
        <v>64</v>
      </c>
    </row>
    <row r="1005" spans="1:12">
      <c r="A1005" s="183" t="s">
        <v>8262</v>
      </c>
      <c r="B1005" s="183" t="s">
        <v>8263</v>
      </c>
      <c r="C1005">
        <v>50211208</v>
      </c>
      <c r="D1005">
        <v>10</v>
      </c>
      <c r="E1005">
        <v>0</v>
      </c>
      <c r="F1005">
        <v>0</v>
      </c>
      <c r="G1005">
        <v>0</v>
      </c>
      <c r="H1005">
        <v>10</v>
      </c>
      <c r="I1005" s="183" t="s">
        <v>1098</v>
      </c>
      <c r="J1005" s="183" t="s">
        <v>12061</v>
      </c>
      <c r="K1005">
        <v>0</v>
      </c>
      <c r="L1005">
        <v>10</v>
      </c>
    </row>
    <row r="1006" spans="1:12">
      <c r="A1006" s="183" t="s">
        <v>2264</v>
      </c>
      <c r="B1006" s="183" t="s">
        <v>2265</v>
      </c>
      <c r="C1006">
        <v>50211215</v>
      </c>
      <c r="D1006">
        <v>73</v>
      </c>
      <c r="E1006">
        <v>0</v>
      </c>
      <c r="F1006">
        <v>0</v>
      </c>
      <c r="G1006">
        <v>0</v>
      </c>
      <c r="H1006">
        <v>73</v>
      </c>
      <c r="I1006" s="183" t="s">
        <v>1098</v>
      </c>
      <c r="J1006" s="183" t="s">
        <v>12055</v>
      </c>
      <c r="K1006">
        <v>0</v>
      </c>
      <c r="L1006">
        <v>73</v>
      </c>
    </row>
    <row r="1007" spans="1:12">
      <c r="A1007" s="183" t="s">
        <v>2428</v>
      </c>
      <c r="B1007" s="183" t="s">
        <v>2429</v>
      </c>
      <c r="C1007">
        <v>50212208</v>
      </c>
      <c r="D1007">
        <v>40</v>
      </c>
      <c r="E1007">
        <v>0</v>
      </c>
      <c r="F1007">
        <v>0</v>
      </c>
      <c r="G1007">
        <v>0</v>
      </c>
      <c r="H1007">
        <v>40</v>
      </c>
      <c r="I1007" s="183" t="s">
        <v>1098</v>
      </c>
      <c r="J1007" s="183" t="s">
        <v>12055</v>
      </c>
      <c r="K1007">
        <v>0</v>
      </c>
      <c r="L1007">
        <v>40</v>
      </c>
    </row>
    <row r="1008" spans="1:12">
      <c r="A1008" s="183" t="s">
        <v>8047</v>
      </c>
      <c r="B1008" s="183" t="s">
        <v>8048</v>
      </c>
      <c r="C1008">
        <v>50212217</v>
      </c>
      <c r="D1008">
        <v>58</v>
      </c>
      <c r="E1008">
        <v>0</v>
      </c>
      <c r="F1008">
        <v>0</v>
      </c>
      <c r="G1008">
        <v>0</v>
      </c>
      <c r="H1008">
        <v>58</v>
      </c>
      <c r="I1008" s="183" t="s">
        <v>1098</v>
      </c>
      <c r="J1008" s="183" t="s">
        <v>12055</v>
      </c>
      <c r="K1008">
        <v>0</v>
      </c>
      <c r="L1008">
        <v>58</v>
      </c>
    </row>
    <row r="1009" spans="1:12">
      <c r="A1009" s="183" t="s">
        <v>2634</v>
      </c>
      <c r="B1009" s="183" t="s">
        <v>2635</v>
      </c>
      <c r="C1009">
        <v>50212516</v>
      </c>
      <c r="D1009">
        <v>47</v>
      </c>
      <c r="E1009">
        <v>0</v>
      </c>
      <c r="F1009">
        <v>0</v>
      </c>
      <c r="G1009">
        <v>0</v>
      </c>
      <c r="H1009">
        <v>47</v>
      </c>
      <c r="I1009" s="183" t="s">
        <v>1098</v>
      </c>
      <c r="J1009" s="183" t="s">
        <v>12057</v>
      </c>
      <c r="K1009">
        <v>0</v>
      </c>
      <c r="L1009">
        <v>47</v>
      </c>
    </row>
    <row r="1010" spans="1:12">
      <c r="A1010" s="183" t="s">
        <v>8434</v>
      </c>
      <c r="B1010" s="183" t="s">
        <v>8435</v>
      </c>
      <c r="C1010">
        <v>50213316</v>
      </c>
      <c r="D1010">
        <v>50</v>
      </c>
      <c r="E1010">
        <v>0</v>
      </c>
      <c r="F1010">
        <v>0</v>
      </c>
      <c r="G1010">
        <v>0</v>
      </c>
      <c r="H1010">
        <v>50</v>
      </c>
      <c r="I1010" s="183" t="s">
        <v>1098</v>
      </c>
      <c r="J1010" s="183" t="s">
        <v>12050</v>
      </c>
      <c r="K1010">
        <v>0</v>
      </c>
      <c r="L1010">
        <v>50</v>
      </c>
    </row>
    <row r="1011" spans="1:12">
      <c r="A1011" s="183" t="s">
        <v>2432</v>
      </c>
      <c r="B1011" s="183" t="s">
        <v>2433</v>
      </c>
      <c r="C1011">
        <v>50213510</v>
      </c>
      <c r="D1011">
        <v>52</v>
      </c>
      <c r="E1011">
        <v>0</v>
      </c>
      <c r="F1011">
        <v>0</v>
      </c>
      <c r="G1011">
        <v>0</v>
      </c>
      <c r="H1011">
        <v>52</v>
      </c>
      <c r="I1011" s="183" t="s">
        <v>1098</v>
      </c>
      <c r="J1011" s="183" t="s">
        <v>12067</v>
      </c>
      <c r="K1011">
        <v>0</v>
      </c>
      <c r="L1011">
        <v>52</v>
      </c>
    </row>
    <row r="1012" spans="1:12">
      <c r="A1012" s="183" t="s">
        <v>1951</v>
      </c>
      <c r="B1012" s="183" t="s">
        <v>1952</v>
      </c>
      <c r="C1012">
        <v>50214116</v>
      </c>
      <c r="D1012">
        <v>36</v>
      </c>
      <c r="E1012">
        <v>0</v>
      </c>
      <c r="F1012">
        <v>0</v>
      </c>
      <c r="G1012">
        <v>0</v>
      </c>
      <c r="H1012">
        <v>36</v>
      </c>
      <c r="I1012" s="183" t="s">
        <v>1098</v>
      </c>
      <c r="J1012" s="183" t="s">
        <v>12054</v>
      </c>
      <c r="K1012">
        <v>0</v>
      </c>
      <c r="L1012">
        <v>36</v>
      </c>
    </row>
    <row r="1013" spans="1:12">
      <c r="A1013" s="183" t="s">
        <v>1945</v>
      </c>
      <c r="B1013" s="183" t="s">
        <v>1946</v>
      </c>
      <c r="C1013">
        <v>50214201</v>
      </c>
      <c r="D1013">
        <v>44</v>
      </c>
      <c r="E1013">
        <v>0</v>
      </c>
      <c r="F1013">
        <v>0</v>
      </c>
      <c r="G1013">
        <v>0</v>
      </c>
      <c r="H1013">
        <v>44</v>
      </c>
      <c r="I1013" s="183" t="s">
        <v>1098</v>
      </c>
      <c r="J1013" s="183" t="s">
        <v>12059</v>
      </c>
      <c r="K1013">
        <v>0</v>
      </c>
      <c r="L1013">
        <v>44</v>
      </c>
    </row>
    <row r="1014" spans="1:12">
      <c r="A1014" s="183" t="s">
        <v>2392</v>
      </c>
      <c r="B1014" s="183" t="s">
        <v>2393</v>
      </c>
      <c r="C1014">
        <v>50214203</v>
      </c>
      <c r="D1014">
        <v>32</v>
      </c>
      <c r="E1014">
        <v>0</v>
      </c>
      <c r="F1014">
        <v>0</v>
      </c>
      <c r="G1014">
        <v>0</v>
      </c>
      <c r="H1014">
        <v>32</v>
      </c>
      <c r="I1014" s="183" t="s">
        <v>1098</v>
      </c>
      <c r="J1014" s="183" t="s">
        <v>12067</v>
      </c>
      <c r="K1014">
        <v>0</v>
      </c>
      <c r="L1014">
        <v>32</v>
      </c>
    </row>
    <row r="1015" spans="1:12">
      <c r="A1015" s="183" t="s">
        <v>8264</v>
      </c>
      <c r="B1015" s="183" t="s">
        <v>8265</v>
      </c>
      <c r="C1015">
        <v>50214216</v>
      </c>
      <c r="D1015">
        <v>45</v>
      </c>
      <c r="E1015">
        <v>0</v>
      </c>
      <c r="F1015">
        <v>0</v>
      </c>
      <c r="G1015">
        <v>0</v>
      </c>
      <c r="H1015">
        <v>45</v>
      </c>
      <c r="I1015" s="183" t="s">
        <v>1098</v>
      </c>
      <c r="J1015" s="183" t="s">
        <v>12052</v>
      </c>
      <c r="K1015">
        <v>0</v>
      </c>
      <c r="L1015">
        <v>45</v>
      </c>
    </row>
    <row r="1016" spans="1:12">
      <c r="A1016" s="183" t="s">
        <v>2632</v>
      </c>
      <c r="B1016" s="183" t="s">
        <v>2633</v>
      </c>
      <c r="C1016">
        <v>50214303</v>
      </c>
      <c r="D1016">
        <v>43</v>
      </c>
      <c r="E1016">
        <v>0</v>
      </c>
      <c r="F1016">
        <v>0</v>
      </c>
      <c r="G1016">
        <v>0</v>
      </c>
      <c r="H1016">
        <v>43</v>
      </c>
      <c r="I1016" s="183" t="s">
        <v>1098</v>
      </c>
      <c r="J1016" s="183" t="s">
        <v>12061</v>
      </c>
      <c r="K1016">
        <v>0</v>
      </c>
      <c r="L1016">
        <v>43</v>
      </c>
    </row>
    <row r="1017" spans="1:12">
      <c r="A1017" s="183" t="s">
        <v>1422</v>
      </c>
      <c r="B1017" s="183" t="s">
        <v>1423</v>
      </c>
      <c r="C1017">
        <v>50215117</v>
      </c>
      <c r="D1017">
        <v>45</v>
      </c>
      <c r="E1017">
        <v>0</v>
      </c>
      <c r="F1017">
        <v>0</v>
      </c>
      <c r="G1017">
        <v>0</v>
      </c>
      <c r="H1017">
        <v>45</v>
      </c>
      <c r="I1017" s="183" t="s">
        <v>1098</v>
      </c>
      <c r="J1017" s="183" t="s">
        <v>12052</v>
      </c>
      <c r="K1017">
        <v>0</v>
      </c>
      <c r="L1017">
        <v>45</v>
      </c>
    </row>
    <row r="1018" spans="1:12">
      <c r="A1018" s="183" t="s">
        <v>5070</v>
      </c>
      <c r="B1018" s="183" t="s">
        <v>5071</v>
      </c>
      <c r="C1018">
        <v>50215316</v>
      </c>
      <c r="D1018">
        <v>39</v>
      </c>
      <c r="E1018">
        <v>0</v>
      </c>
      <c r="F1018">
        <v>0</v>
      </c>
      <c r="G1018">
        <v>0</v>
      </c>
      <c r="H1018">
        <v>39</v>
      </c>
      <c r="I1018" s="183" t="s">
        <v>1098</v>
      </c>
      <c r="J1018" s="183" t="s">
        <v>12057</v>
      </c>
      <c r="K1018">
        <v>0</v>
      </c>
      <c r="L1018">
        <v>39</v>
      </c>
    </row>
    <row r="1019" spans="1:12">
      <c r="A1019" s="183" t="s">
        <v>2655</v>
      </c>
      <c r="B1019" s="183" t="s">
        <v>2656</v>
      </c>
      <c r="C1019">
        <v>50216116</v>
      </c>
      <c r="D1019">
        <v>38</v>
      </c>
      <c r="E1019">
        <v>0</v>
      </c>
      <c r="F1019">
        <v>0</v>
      </c>
      <c r="G1019">
        <v>0</v>
      </c>
      <c r="H1019">
        <v>38</v>
      </c>
      <c r="I1019" s="183" t="s">
        <v>1098</v>
      </c>
      <c r="J1019" s="183" t="s">
        <v>12054</v>
      </c>
      <c r="K1019">
        <v>0</v>
      </c>
      <c r="L1019">
        <v>38</v>
      </c>
    </row>
    <row r="1020" spans="1:12">
      <c r="A1020" s="183" t="s">
        <v>1965</v>
      </c>
      <c r="B1020" s="183" t="s">
        <v>1966</v>
      </c>
      <c r="C1020">
        <v>50216217</v>
      </c>
      <c r="D1020">
        <v>95</v>
      </c>
      <c r="E1020">
        <v>0</v>
      </c>
      <c r="F1020">
        <v>0</v>
      </c>
      <c r="G1020">
        <v>0</v>
      </c>
      <c r="H1020">
        <v>95</v>
      </c>
      <c r="I1020" s="183" t="s">
        <v>1098</v>
      </c>
      <c r="J1020" s="183" t="s">
        <v>12054</v>
      </c>
      <c r="K1020">
        <v>0</v>
      </c>
      <c r="L1020">
        <v>95</v>
      </c>
    </row>
    <row r="1021" spans="1:12">
      <c r="A1021" s="183" t="s">
        <v>1438</v>
      </c>
      <c r="B1021" s="183" t="s">
        <v>1439</v>
      </c>
      <c r="C1021">
        <v>50216401</v>
      </c>
      <c r="D1021">
        <v>41</v>
      </c>
      <c r="E1021">
        <v>0</v>
      </c>
      <c r="F1021">
        <v>0</v>
      </c>
      <c r="G1021">
        <v>0</v>
      </c>
      <c r="H1021">
        <v>41</v>
      </c>
      <c r="I1021" s="183" t="s">
        <v>1098</v>
      </c>
      <c r="J1021" s="183" t="s">
        <v>12054</v>
      </c>
      <c r="K1021">
        <v>0</v>
      </c>
      <c r="L1021">
        <v>41</v>
      </c>
    </row>
    <row r="1022" spans="1:12">
      <c r="A1022" s="183" t="s">
        <v>8465</v>
      </c>
      <c r="B1022" s="183" t="s">
        <v>8466</v>
      </c>
      <c r="C1022">
        <v>50216417</v>
      </c>
      <c r="D1022">
        <v>29</v>
      </c>
      <c r="E1022">
        <v>0</v>
      </c>
      <c r="F1022">
        <v>0</v>
      </c>
      <c r="G1022">
        <v>0</v>
      </c>
      <c r="H1022">
        <v>29</v>
      </c>
      <c r="I1022" s="183" t="s">
        <v>1098</v>
      </c>
      <c r="J1022" s="183" t="s">
        <v>12056</v>
      </c>
      <c r="K1022">
        <v>0</v>
      </c>
      <c r="L1022">
        <v>29</v>
      </c>
    </row>
    <row r="1023" spans="1:12">
      <c r="A1023" s="183" t="s">
        <v>8354</v>
      </c>
      <c r="B1023" s="183" t="s">
        <v>8355</v>
      </c>
      <c r="C1023">
        <v>50217103</v>
      </c>
      <c r="D1023">
        <v>49</v>
      </c>
      <c r="E1023">
        <v>0</v>
      </c>
      <c r="F1023">
        <v>0</v>
      </c>
      <c r="G1023">
        <v>0</v>
      </c>
      <c r="H1023">
        <v>49</v>
      </c>
      <c r="I1023" s="183" t="s">
        <v>1098</v>
      </c>
      <c r="J1023" s="183" t="s">
        <v>12056</v>
      </c>
      <c r="K1023">
        <v>0</v>
      </c>
      <c r="L1023">
        <v>49</v>
      </c>
    </row>
    <row r="1024" spans="1:12">
      <c r="A1024" s="183" t="s">
        <v>1963</v>
      </c>
      <c r="B1024" s="183" t="s">
        <v>1964</v>
      </c>
      <c r="C1024">
        <v>50217203</v>
      </c>
      <c r="D1024">
        <v>50</v>
      </c>
      <c r="E1024">
        <v>0</v>
      </c>
      <c r="F1024">
        <v>0</v>
      </c>
      <c r="G1024">
        <v>0</v>
      </c>
      <c r="H1024">
        <v>50</v>
      </c>
      <c r="I1024" s="183" t="s">
        <v>1098</v>
      </c>
      <c r="J1024" s="183" t="s">
        <v>12056</v>
      </c>
      <c r="K1024">
        <v>0</v>
      </c>
      <c r="L1024">
        <v>50</v>
      </c>
    </row>
    <row r="1025" spans="1:12">
      <c r="A1025" s="183" t="s">
        <v>8358</v>
      </c>
      <c r="B1025" s="183" t="s">
        <v>8359</v>
      </c>
      <c r="C1025">
        <v>50217216</v>
      </c>
      <c r="D1025">
        <v>48</v>
      </c>
      <c r="E1025">
        <v>0</v>
      </c>
      <c r="F1025">
        <v>0</v>
      </c>
      <c r="G1025">
        <v>0</v>
      </c>
      <c r="H1025">
        <v>48</v>
      </c>
      <c r="I1025" s="183" t="s">
        <v>1098</v>
      </c>
      <c r="J1025" s="183" t="s">
        <v>12054</v>
      </c>
      <c r="K1025">
        <v>0</v>
      </c>
      <c r="L1025">
        <v>48</v>
      </c>
    </row>
    <row r="1026" spans="1:12">
      <c r="A1026" s="183" t="s">
        <v>8007</v>
      </c>
      <c r="B1026" s="183" t="s">
        <v>8008</v>
      </c>
      <c r="C1026">
        <v>50217317</v>
      </c>
      <c r="D1026">
        <v>49</v>
      </c>
      <c r="E1026">
        <v>0</v>
      </c>
      <c r="F1026">
        <v>0</v>
      </c>
      <c r="G1026">
        <v>0</v>
      </c>
      <c r="H1026">
        <v>49</v>
      </c>
      <c r="I1026" s="183" t="s">
        <v>1098</v>
      </c>
      <c r="J1026" s="183" t="s">
        <v>12054</v>
      </c>
      <c r="K1026">
        <v>0</v>
      </c>
      <c r="L1026">
        <v>49</v>
      </c>
    </row>
    <row r="1027" spans="1:12">
      <c r="A1027" s="183" t="s">
        <v>1440</v>
      </c>
      <c r="B1027" s="183" t="s">
        <v>1441</v>
      </c>
      <c r="C1027">
        <v>50217415</v>
      </c>
      <c r="D1027">
        <v>50</v>
      </c>
      <c r="E1027">
        <v>0</v>
      </c>
      <c r="F1027">
        <v>0</v>
      </c>
      <c r="G1027">
        <v>0</v>
      </c>
      <c r="H1027">
        <v>50</v>
      </c>
      <c r="I1027" s="183" t="s">
        <v>1098</v>
      </c>
      <c r="J1027" s="183" t="s">
        <v>12060</v>
      </c>
      <c r="K1027">
        <v>0</v>
      </c>
      <c r="L1027">
        <v>50</v>
      </c>
    </row>
    <row r="1028" spans="1:12">
      <c r="A1028" s="183" t="s">
        <v>1606</v>
      </c>
      <c r="B1028" s="183" t="s">
        <v>1607</v>
      </c>
      <c r="C1028">
        <v>50218115</v>
      </c>
      <c r="D1028">
        <v>49</v>
      </c>
      <c r="E1028">
        <v>0</v>
      </c>
      <c r="F1028">
        <v>0</v>
      </c>
      <c r="G1028">
        <v>0</v>
      </c>
      <c r="H1028">
        <v>49</v>
      </c>
      <c r="I1028" s="183" t="s">
        <v>1098</v>
      </c>
      <c r="J1028" s="183" t="s">
        <v>12057</v>
      </c>
      <c r="K1028">
        <v>0</v>
      </c>
      <c r="L1028">
        <v>49</v>
      </c>
    </row>
    <row r="1029" spans="1:12">
      <c r="A1029" s="183" t="s">
        <v>2724</v>
      </c>
      <c r="B1029" s="183" t="s">
        <v>2725</v>
      </c>
      <c r="C1029">
        <v>50222315</v>
      </c>
      <c r="D1029">
        <v>14</v>
      </c>
      <c r="E1029">
        <v>0</v>
      </c>
      <c r="F1029">
        <v>0</v>
      </c>
      <c r="G1029">
        <v>0</v>
      </c>
      <c r="H1029">
        <v>14</v>
      </c>
      <c r="I1029" s="183" t="s">
        <v>1098</v>
      </c>
      <c r="J1029" s="183" t="s">
        <v>12060</v>
      </c>
      <c r="K1029">
        <v>0</v>
      </c>
      <c r="L1029">
        <v>14</v>
      </c>
    </row>
    <row r="1030" spans="1:12">
      <c r="A1030" s="183" t="s">
        <v>1282</v>
      </c>
      <c r="B1030" s="183" t="s">
        <v>1283</v>
      </c>
      <c r="C1030">
        <v>50222417</v>
      </c>
      <c r="D1030">
        <v>23</v>
      </c>
      <c r="E1030">
        <v>0</v>
      </c>
      <c r="F1030">
        <v>0</v>
      </c>
      <c r="G1030">
        <v>0</v>
      </c>
      <c r="H1030">
        <v>23</v>
      </c>
      <c r="I1030" s="183" t="s">
        <v>1098</v>
      </c>
      <c r="J1030" s="183" t="s">
        <v>12057</v>
      </c>
      <c r="K1030">
        <v>0</v>
      </c>
      <c r="L1030">
        <v>23</v>
      </c>
    </row>
    <row r="1031" spans="1:12">
      <c r="A1031" s="183" t="s">
        <v>8318</v>
      </c>
      <c r="B1031" s="183" t="s">
        <v>8319</v>
      </c>
      <c r="C1031">
        <v>50223208</v>
      </c>
      <c r="D1031">
        <v>50</v>
      </c>
      <c r="E1031">
        <v>0</v>
      </c>
      <c r="F1031">
        <v>0</v>
      </c>
      <c r="G1031">
        <v>0</v>
      </c>
      <c r="H1031">
        <v>50</v>
      </c>
      <c r="I1031" s="183" t="s">
        <v>1098</v>
      </c>
      <c r="J1031" s="183" t="s">
        <v>12056</v>
      </c>
      <c r="K1031">
        <v>0</v>
      </c>
      <c r="L1031">
        <v>50</v>
      </c>
    </row>
    <row r="1032" spans="1:12">
      <c r="A1032" s="183" t="s">
        <v>1923</v>
      </c>
      <c r="B1032" s="183" t="s">
        <v>1924</v>
      </c>
      <c r="C1032">
        <v>50223217</v>
      </c>
      <c r="D1032">
        <v>48</v>
      </c>
      <c r="E1032">
        <v>0</v>
      </c>
      <c r="F1032">
        <v>0</v>
      </c>
      <c r="G1032">
        <v>0</v>
      </c>
      <c r="H1032">
        <v>48</v>
      </c>
      <c r="I1032" s="183" t="s">
        <v>1098</v>
      </c>
      <c r="J1032" s="183" t="s">
        <v>12054</v>
      </c>
      <c r="K1032">
        <v>0</v>
      </c>
      <c r="L1032">
        <v>48</v>
      </c>
    </row>
    <row r="1033" spans="1:12">
      <c r="A1033" s="183" t="s">
        <v>2713</v>
      </c>
      <c r="B1033" s="183" t="s">
        <v>2714</v>
      </c>
      <c r="C1033">
        <v>50224102</v>
      </c>
      <c r="D1033">
        <v>49</v>
      </c>
      <c r="E1033">
        <v>0</v>
      </c>
      <c r="F1033">
        <v>0</v>
      </c>
      <c r="G1033">
        <v>0</v>
      </c>
      <c r="H1033">
        <v>49</v>
      </c>
      <c r="I1033" s="183" t="s">
        <v>1098</v>
      </c>
      <c r="J1033" s="183" t="s">
        <v>12054</v>
      </c>
      <c r="K1033">
        <v>0</v>
      </c>
      <c r="L1033">
        <v>49</v>
      </c>
    </row>
    <row r="1034" spans="1:12">
      <c r="A1034" s="183" t="s">
        <v>8509</v>
      </c>
      <c r="B1034" s="183" t="s">
        <v>8510</v>
      </c>
      <c r="C1034">
        <v>50224517</v>
      </c>
      <c r="D1034">
        <v>38</v>
      </c>
      <c r="E1034">
        <v>0</v>
      </c>
      <c r="F1034">
        <v>0</v>
      </c>
      <c r="G1034">
        <v>0</v>
      </c>
      <c r="H1034">
        <v>38</v>
      </c>
      <c r="I1034" s="183" t="s">
        <v>1098</v>
      </c>
      <c r="J1034" s="183" t="s">
        <v>12052</v>
      </c>
      <c r="K1034">
        <v>0</v>
      </c>
      <c r="L1034">
        <v>38</v>
      </c>
    </row>
    <row r="1035" spans="1:12">
      <c r="A1035" s="183" t="s">
        <v>8521</v>
      </c>
      <c r="B1035" s="183" t="s">
        <v>8522</v>
      </c>
      <c r="C1035">
        <v>50226115</v>
      </c>
      <c r="D1035">
        <v>48</v>
      </c>
      <c r="E1035">
        <v>0</v>
      </c>
      <c r="F1035">
        <v>0</v>
      </c>
      <c r="G1035">
        <v>0</v>
      </c>
      <c r="H1035">
        <v>48</v>
      </c>
      <c r="I1035" s="183" t="s">
        <v>1098</v>
      </c>
      <c r="J1035" s="183" t="s">
        <v>12057</v>
      </c>
      <c r="K1035">
        <v>0</v>
      </c>
      <c r="L1035">
        <v>48</v>
      </c>
    </row>
    <row r="1036" spans="1:12">
      <c r="A1036" s="183" t="s">
        <v>1905</v>
      </c>
      <c r="B1036" s="183" t="s">
        <v>1906</v>
      </c>
      <c r="C1036">
        <v>50226202</v>
      </c>
      <c r="D1036">
        <v>39</v>
      </c>
      <c r="E1036">
        <v>0</v>
      </c>
      <c r="F1036">
        <v>0</v>
      </c>
      <c r="G1036">
        <v>0</v>
      </c>
      <c r="H1036">
        <v>39</v>
      </c>
      <c r="I1036" s="183" t="s">
        <v>1098</v>
      </c>
      <c r="J1036" s="183" t="s">
        <v>12054</v>
      </c>
      <c r="K1036">
        <v>0</v>
      </c>
      <c r="L1036">
        <v>39</v>
      </c>
    </row>
    <row r="1037" spans="1:12">
      <c r="A1037" s="183" t="s">
        <v>7060</v>
      </c>
      <c r="B1037" s="183" t="s">
        <v>7061</v>
      </c>
      <c r="C1037">
        <v>50226208</v>
      </c>
      <c r="D1037">
        <v>54</v>
      </c>
      <c r="E1037">
        <v>0</v>
      </c>
      <c r="F1037">
        <v>0</v>
      </c>
      <c r="G1037">
        <v>0</v>
      </c>
      <c r="H1037">
        <v>54</v>
      </c>
      <c r="I1037" s="183" t="s">
        <v>1098</v>
      </c>
      <c r="J1037" s="183" t="s">
        <v>12055</v>
      </c>
      <c r="K1037">
        <v>0</v>
      </c>
      <c r="L1037">
        <v>54</v>
      </c>
    </row>
    <row r="1038" spans="1:12">
      <c r="A1038" s="183" t="s">
        <v>2368</v>
      </c>
      <c r="B1038" s="183" t="s">
        <v>2369</v>
      </c>
      <c r="C1038">
        <v>50226215</v>
      </c>
      <c r="D1038">
        <v>74</v>
      </c>
      <c r="E1038">
        <v>0</v>
      </c>
      <c r="F1038">
        <v>0</v>
      </c>
      <c r="G1038">
        <v>0</v>
      </c>
      <c r="H1038">
        <v>74</v>
      </c>
      <c r="I1038" s="183" t="s">
        <v>1098</v>
      </c>
      <c r="J1038" s="183" t="s">
        <v>12059</v>
      </c>
      <c r="K1038">
        <v>0</v>
      </c>
      <c r="L1038">
        <v>74</v>
      </c>
    </row>
    <row r="1039" spans="1:12">
      <c r="A1039" s="183" t="s">
        <v>1926</v>
      </c>
      <c r="B1039" s="183" t="s">
        <v>1927</v>
      </c>
      <c r="C1039">
        <v>50226510</v>
      </c>
      <c r="D1039">
        <v>50</v>
      </c>
      <c r="E1039">
        <v>0</v>
      </c>
      <c r="F1039">
        <v>0</v>
      </c>
      <c r="G1039">
        <v>0</v>
      </c>
      <c r="H1039">
        <v>50</v>
      </c>
      <c r="I1039" s="183" t="s">
        <v>1098</v>
      </c>
      <c r="J1039" s="183" t="s">
        <v>12052</v>
      </c>
      <c r="K1039">
        <v>0</v>
      </c>
      <c r="L1039">
        <v>50</v>
      </c>
    </row>
    <row r="1040" spans="1:12">
      <c r="A1040" s="183" t="s">
        <v>2220</v>
      </c>
      <c r="B1040" s="183" t="s">
        <v>2221</v>
      </c>
      <c r="C1040">
        <v>50226516</v>
      </c>
      <c r="D1040">
        <v>46</v>
      </c>
      <c r="E1040">
        <v>0</v>
      </c>
      <c r="F1040">
        <v>0</v>
      </c>
      <c r="G1040">
        <v>0</v>
      </c>
      <c r="H1040">
        <v>46</v>
      </c>
      <c r="I1040" s="183" t="s">
        <v>1098</v>
      </c>
      <c r="J1040" s="183" t="s">
        <v>12057</v>
      </c>
      <c r="K1040">
        <v>0</v>
      </c>
      <c r="L1040">
        <v>46</v>
      </c>
    </row>
    <row r="1041" spans="1:12">
      <c r="A1041" s="183" t="s">
        <v>7048</v>
      </c>
      <c r="B1041" s="183" t="s">
        <v>7049</v>
      </c>
      <c r="C1041">
        <v>50228210</v>
      </c>
      <c r="D1041">
        <v>43</v>
      </c>
      <c r="E1041">
        <v>0</v>
      </c>
      <c r="F1041">
        <v>0</v>
      </c>
      <c r="G1041">
        <v>0</v>
      </c>
      <c r="H1041">
        <v>43</v>
      </c>
      <c r="I1041" s="183" t="s">
        <v>1098</v>
      </c>
      <c r="J1041" s="183" t="s">
        <v>12050</v>
      </c>
      <c r="K1041">
        <v>0</v>
      </c>
      <c r="L1041">
        <v>43</v>
      </c>
    </row>
    <row r="1042" spans="1:12">
      <c r="A1042" s="183" t="s">
        <v>8063</v>
      </c>
      <c r="B1042" s="183" t="s">
        <v>8064</v>
      </c>
      <c r="C1042">
        <v>50228317</v>
      </c>
      <c r="D1042">
        <v>47</v>
      </c>
      <c r="E1042">
        <v>0</v>
      </c>
      <c r="F1042">
        <v>0</v>
      </c>
      <c r="G1042">
        <v>0</v>
      </c>
      <c r="H1042">
        <v>47</v>
      </c>
      <c r="I1042" s="183" t="s">
        <v>1098</v>
      </c>
      <c r="J1042" s="183" t="s">
        <v>12053</v>
      </c>
      <c r="K1042">
        <v>0</v>
      </c>
      <c r="L1042">
        <v>47</v>
      </c>
    </row>
    <row r="1043" spans="1:12">
      <c r="A1043" s="183" t="s">
        <v>2732</v>
      </c>
      <c r="B1043" s="183" t="s">
        <v>2733</v>
      </c>
      <c r="C1043">
        <v>50228510</v>
      </c>
      <c r="D1043">
        <v>26</v>
      </c>
      <c r="E1043">
        <v>0</v>
      </c>
      <c r="F1043">
        <v>0</v>
      </c>
      <c r="G1043">
        <v>0</v>
      </c>
      <c r="H1043">
        <v>26</v>
      </c>
      <c r="I1043" s="183" t="s">
        <v>1098</v>
      </c>
      <c r="J1043" s="183" t="s">
        <v>12056</v>
      </c>
      <c r="K1043">
        <v>0</v>
      </c>
      <c r="L1043">
        <v>26</v>
      </c>
    </row>
    <row r="1044" spans="1:12">
      <c r="A1044" s="183" t="s">
        <v>2726</v>
      </c>
      <c r="B1044" s="183" t="s">
        <v>2727</v>
      </c>
      <c r="C1044">
        <v>50230101</v>
      </c>
      <c r="D1044">
        <v>48</v>
      </c>
      <c r="E1044">
        <v>0</v>
      </c>
      <c r="F1044">
        <v>0</v>
      </c>
      <c r="G1044">
        <v>0</v>
      </c>
      <c r="H1044">
        <v>48</v>
      </c>
      <c r="I1044" s="183" t="s">
        <v>1098</v>
      </c>
      <c r="J1044" s="183" t="s">
        <v>12056</v>
      </c>
      <c r="K1044">
        <v>0</v>
      </c>
      <c r="L1044">
        <v>48</v>
      </c>
    </row>
    <row r="1045" spans="1:12">
      <c r="A1045" s="183" t="s">
        <v>2700</v>
      </c>
      <c r="B1045" s="183" t="s">
        <v>2701</v>
      </c>
      <c r="C1045">
        <v>50230103</v>
      </c>
      <c r="D1045">
        <v>42</v>
      </c>
      <c r="E1045">
        <v>0</v>
      </c>
      <c r="F1045">
        <v>0</v>
      </c>
      <c r="G1045">
        <v>0</v>
      </c>
      <c r="H1045">
        <v>42</v>
      </c>
      <c r="I1045" s="183" t="s">
        <v>1098</v>
      </c>
      <c r="J1045" s="183" t="s">
        <v>12060</v>
      </c>
      <c r="K1045">
        <v>0</v>
      </c>
      <c r="L1045">
        <v>42</v>
      </c>
    </row>
    <row r="1046" spans="1:12">
      <c r="A1046" s="183" t="s">
        <v>2702</v>
      </c>
      <c r="B1046" s="183" t="s">
        <v>2703</v>
      </c>
      <c r="C1046">
        <v>50230308</v>
      </c>
      <c r="D1046">
        <v>50</v>
      </c>
      <c r="E1046">
        <v>0</v>
      </c>
      <c r="F1046">
        <v>0</v>
      </c>
      <c r="G1046">
        <v>0</v>
      </c>
      <c r="H1046">
        <v>50</v>
      </c>
      <c r="I1046" s="183" t="s">
        <v>1098</v>
      </c>
      <c r="J1046" s="183" t="s">
        <v>12057</v>
      </c>
      <c r="K1046">
        <v>0</v>
      </c>
      <c r="L1046">
        <v>50</v>
      </c>
    </row>
    <row r="1047" spans="1:12">
      <c r="A1047" s="183" t="s">
        <v>8204</v>
      </c>
      <c r="B1047" s="183" t="s">
        <v>8205</v>
      </c>
      <c r="C1047">
        <v>50232108</v>
      </c>
      <c r="D1047">
        <v>69</v>
      </c>
      <c r="E1047">
        <v>0</v>
      </c>
      <c r="F1047">
        <v>0</v>
      </c>
      <c r="G1047">
        <v>0</v>
      </c>
      <c r="H1047">
        <v>69</v>
      </c>
      <c r="I1047" s="183" t="s">
        <v>1098</v>
      </c>
      <c r="J1047" s="183" t="s">
        <v>12067</v>
      </c>
      <c r="K1047">
        <v>0</v>
      </c>
      <c r="L1047">
        <v>69</v>
      </c>
    </row>
    <row r="1048" spans="1:12">
      <c r="A1048" s="183" t="s">
        <v>1564</v>
      </c>
      <c r="B1048" s="183" t="s">
        <v>1565</v>
      </c>
      <c r="C1048">
        <v>50232115</v>
      </c>
      <c r="D1048">
        <v>48</v>
      </c>
      <c r="E1048">
        <v>0</v>
      </c>
      <c r="F1048">
        <v>0</v>
      </c>
      <c r="G1048">
        <v>0</v>
      </c>
      <c r="H1048">
        <v>48</v>
      </c>
      <c r="I1048" s="183" t="s">
        <v>1098</v>
      </c>
      <c r="J1048" s="183" t="s">
        <v>12054</v>
      </c>
      <c r="K1048">
        <v>0</v>
      </c>
      <c r="L1048">
        <v>48</v>
      </c>
    </row>
    <row r="1049" spans="1:12">
      <c r="A1049" s="183" t="s">
        <v>8475</v>
      </c>
      <c r="B1049" s="183" t="s">
        <v>8476</v>
      </c>
      <c r="C1049">
        <v>50232208</v>
      </c>
      <c r="D1049">
        <v>50</v>
      </c>
      <c r="E1049">
        <v>0</v>
      </c>
      <c r="F1049">
        <v>0</v>
      </c>
      <c r="G1049">
        <v>0</v>
      </c>
      <c r="H1049">
        <v>50</v>
      </c>
      <c r="I1049" s="183" t="s">
        <v>1098</v>
      </c>
      <c r="J1049" s="183" t="s">
        <v>12059</v>
      </c>
      <c r="K1049">
        <v>0</v>
      </c>
      <c r="L1049">
        <v>50</v>
      </c>
    </row>
    <row r="1050" spans="1:12">
      <c r="A1050" s="183" t="s">
        <v>7284</v>
      </c>
      <c r="B1050" s="183" t="s">
        <v>7285</v>
      </c>
      <c r="C1050">
        <v>50232508</v>
      </c>
      <c r="D1050">
        <v>17</v>
      </c>
      <c r="E1050">
        <v>0</v>
      </c>
      <c r="F1050">
        <v>0</v>
      </c>
      <c r="G1050">
        <v>0</v>
      </c>
      <c r="H1050">
        <v>17</v>
      </c>
      <c r="I1050" s="183" t="s">
        <v>1098</v>
      </c>
      <c r="J1050" s="183" t="s">
        <v>12052</v>
      </c>
      <c r="K1050">
        <v>0</v>
      </c>
      <c r="L1050">
        <v>17</v>
      </c>
    </row>
    <row r="1051" spans="1:12">
      <c r="A1051" s="183" t="s">
        <v>2240</v>
      </c>
      <c r="B1051" s="183" t="s">
        <v>2241</v>
      </c>
      <c r="C1051">
        <v>50232515</v>
      </c>
      <c r="D1051">
        <v>50</v>
      </c>
      <c r="E1051">
        <v>0</v>
      </c>
      <c r="F1051">
        <v>0</v>
      </c>
      <c r="G1051">
        <v>0</v>
      </c>
      <c r="H1051">
        <v>50</v>
      </c>
      <c r="I1051" s="183" t="s">
        <v>1098</v>
      </c>
      <c r="J1051" s="183" t="s">
        <v>12061</v>
      </c>
      <c r="K1051">
        <v>0</v>
      </c>
      <c r="L1051">
        <v>50</v>
      </c>
    </row>
    <row r="1052" spans="1:12">
      <c r="A1052" s="183" t="s">
        <v>6984</v>
      </c>
      <c r="B1052" s="183" t="s">
        <v>6985</v>
      </c>
      <c r="C1052">
        <v>50234108</v>
      </c>
      <c r="D1052">
        <v>48</v>
      </c>
      <c r="E1052">
        <v>0</v>
      </c>
      <c r="F1052">
        <v>0</v>
      </c>
      <c r="G1052">
        <v>0</v>
      </c>
      <c r="H1052">
        <v>48</v>
      </c>
      <c r="I1052" s="183" t="s">
        <v>1098</v>
      </c>
      <c r="J1052" s="183" t="s">
        <v>12056</v>
      </c>
      <c r="K1052">
        <v>0</v>
      </c>
      <c r="L1052">
        <v>48</v>
      </c>
    </row>
    <row r="1053" spans="1:12">
      <c r="A1053" s="183" t="s">
        <v>8430</v>
      </c>
      <c r="B1053" s="183" t="s">
        <v>8431</v>
      </c>
      <c r="C1053">
        <v>50234110</v>
      </c>
      <c r="D1053">
        <v>50</v>
      </c>
      <c r="E1053">
        <v>0</v>
      </c>
      <c r="F1053">
        <v>0</v>
      </c>
      <c r="G1053">
        <v>0</v>
      </c>
      <c r="H1053">
        <v>50</v>
      </c>
      <c r="I1053" s="183" t="s">
        <v>1098</v>
      </c>
      <c r="J1053" s="183" t="s">
        <v>12061</v>
      </c>
      <c r="K1053">
        <v>0</v>
      </c>
      <c r="L1053">
        <v>50</v>
      </c>
    </row>
    <row r="1054" spans="1:12">
      <c r="A1054" s="183" t="s">
        <v>2053</v>
      </c>
      <c r="B1054" s="183" t="s">
        <v>2054</v>
      </c>
      <c r="C1054">
        <v>50234216</v>
      </c>
      <c r="D1054">
        <v>30</v>
      </c>
      <c r="E1054">
        <v>0</v>
      </c>
      <c r="F1054">
        <v>0</v>
      </c>
      <c r="G1054">
        <v>0</v>
      </c>
      <c r="H1054">
        <v>30</v>
      </c>
      <c r="I1054" s="183" t="s">
        <v>1098</v>
      </c>
      <c r="J1054" s="183" t="s">
        <v>12058</v>
      </c>
      <c r="K1054">
        <v>0</v>
      </c>
      <c r="L1054">
        <v>30</v>
      </c>
    </row>
    <row r="1055" spans="1:12">
      <c r="A1055" s="183" t="s">
        <v>7989</v>
      </c>
      <c r="B1055" s="183" t="s">
        <v>7990</v>
      </c>
      <c r="C1055">
        <v>50234317</v>
      </c>
      <c r="D1055">
        <v>32</v>
      </c>
      <c r="E1055">
        <v>0</v>
      </c>
      <c r="F1055">
        <v>0</v>
      </c>
      <c r="G1055">
        <v>0</v>
      </c>
      <c r="H1055">
        <v>32</v>
      </c>
      <c r="I1055" s="183" t="s">
        <v>1098</v>
      </c>
      <c r="J1055" s="183" t="s">
        <v>12060</v>
      </c>
      <c r="K1055">
        <v>0</v>
      </c>
      <c r="L1055">
        <v>32</v>
      </c>
    </row>
    <row r="1056" spans="1:12">
      <c r="A1056" s="183" t="s">
        <v>7151</v>
      </c>
      <c r="B1056" s="183" t="s">
        <v>7152</v>
      </c>
      <c r="C1056">
        <v>50234502</v>
      </c>
      <c r="D1056">
        <v>18</v>
      </c>
      <c r="E1056">
        <v>0</v>
      </c>
      <c r="F1056">
        <v>0</v>
      </c>
      <c r="G1056">
        <v>0</v>
      </c>
      <c r="H1056">
        <v>18</v>
      </c>
      <c r="I1056" s="183" t="s">
        <v>1098</v>
      </c>
      <c r="J1056" s="183" t="s">
        <v>12061</v>
      </c>
      <c r="K1056">
        <v>0</v>
      </c>
      <c r="L1056">
        <v>18</v>
      </c>
    </row>
    <row r="1057" spans="1:12">
      <c r="A1057" s="183" t="s">
        <v>2228</v>
      </c>
      <c r="B1057" s="183" t="s">
        <v>2229</v>
      </c>
      <c r="C1057">
        <v>50236101</v>
      </c>
      <c r="D1057">
        <v>47</v>
      </c>
      <c r="E1057">
        <v>0</v>
      </c>
      <c r="F1057">
        <v>0</v>
      </c>
      <c r="G1057">
        <v>0</v>
      </c>
      <c r="H1057">
        <v>47</v>
      </c>
      <c r="I1057" s="183" t="s">
        <v>1098</v>
      </c>
      <c r="J1057" s="183" t="s">
        <v>12056</v>
      </c>
      <c r="K1057">
        <v>0</v>
      </c>
      <c r="L1057">
        <v>47</v>
      </c>
    </row>
    <row r="1058" spans="1:12">
      <c r="A1058" s="183" t="s">
        <v>8001</v>
      </c>
      <c r="B1058" s="183" t="s">
        <v>8002</v>
      </c>
      <c r="C1058">
        <v>50236117</v>
      </c>
      <c r="D1058">
        <v>48</v>
      </c>
      <c r="E1058">
        <v>0</v>
      </c>
      <c r="F1058">
        <v>0</v>
      </c>
      <c r="G1058">
        <v>0</v>
      </c>
      <c r="H1058">
        <v>48</v>
      </c>
      <c r="I1058" s="183" t="s">
        <v>1098</v>
      </c>
      <c r="J1058" s="183" t="s">
        <v>12050</v>
      </c>
      <c r="K1058">
        <v>0</v>
      </c>
      <c r="L1058">
        <v>48</v>
      </c>
    </row>
    <row r="1059" spans="1:12">
      <c r="A1059" s="183" t="s">
        <v>1558</v>
      </c>
      <c r="B1059" s="183" t="s">
        <v>1559</v>
      </c>
      <c r="C1059">
        <v>50236202</v>
      </c>
      <c r="D1059">
        <v>48</v>
      </c>
      <c r="E1059">
        <v>0</v>
      </c>
      <c r="F1059">
        <v>0</v>
      </c>
      <c r="G1059">
        <v>0</v>
      </c>
      <c r="H1059">
        <v>48</v>
      </c>
      <c r="I1059" s="183" t="s">
        <v>1098</v>
      </c>
      <c r="J1059" s="183" t="s">
        <v>12052</v>
      </c>
      <c r="K1059">
        <v>0</v>
      </c>
      <c r="L1059">
        <v>48</v>
      </c>
    </row>
    <row r="1060" spans="1:12">
      <c r="A1060" s="183" t="s">
        <v>1928</v>
      </c>
      <c r="B1060" s="183" t="s">
        <v>1929</v>
      </c>
      <c r="C1060">
        <v>50236302</v>
      </c>
      <c r="D1060">
        <v>49</v>
      </c>
      <c r="E1060">
        <v>0</v>
      </c>
      <c r="F1060">
        <v>0</v>
      </c>
      <c r="G1060">
        <v>0</v>
      </c>
      <c r="H1060">
        <v>49</v>
      </c>
      <c r="I1060" s="183" t="s">
        <v>1098</v>
      </c>
      <c r="J1060" s="183" t="s">
        <v>12057</v>
      </c>
      <c r="K1060">
        <v>0</v>
      </c>
      <c r="L1060">
        <v>49</v>
      </c>
    </row>
    <row r="1061" spans="1:12">
      <c r="A1061" s="183" t="s">
        <v>1921</v>
      </c>
      <c r="B1061" s="183" t="s">
        <v>1922</v>
      </c>
      <c r="C1061">
        <v>50236417</v>
      </c>
      <c r="D1061">
        <v>24</v>
      </c>
      <c r="E1061">
        <v>0</v>
      </c>
      <c r="F1061">
        <v>0</v>
      </c>
      <c r="G1061">
        <v>0</v>
      </c>
      <c r="H1061">
        <v>24</v>
      </c>
      <c r="I1061" s="183" t="s">
        <v>1098</v>
      </c>
      <c r="J1061" s="183" t="s">
        <v>12059</v>
      </c>
      <c r="K1061">
        <v>0</v>
      </c>
      <c r="L1061">
        <v>24</v>
      </c>
    </row>
    <row r="1062" spans="1:12">
      <c r="A1062" s="183" t="s">
        <v>1911</v>
      </c>
      <c r="B1062" s="183" t="s">
        <v>1912</v>
      </c>
      <c r="C1062">
        <v>50238103</v>
      </c>
      <c r="D1062">
        <v>50</v>
      </c>
      <c r="E1062">
        <v>0</v>
      </c>
      <c r="F1062">
        <v>0</v>
      </c>
      <c r="G1062">
        <v>0</v>
      </c>
      <c r="H1062">
        <v>50</v>
      </c>
      <c r="I1062" s="183" t="s">
        <v>1098</v>
      </c>
      <c r="J1062" s="183" t="s">
        <v>12060</v>
      </c>
      <c r="K1062">
        <v>0</v>
      </c>
      <c r="L1062">
        <v>50</v>
      </c>
    </row>
    <row r="1063" spans="1:12">
      <c r="A1063" s="183" t="s">
        <v>1725</v>
      </c>
      <c r="B1063" s="183" t="s">
        <v>1726</v>
      </c>
      <c r="C1063">
        <v>50238108</v>
      </c>
      <c r="D1063">
        <v>100</v>
      </c>
      <c r="E1063">
        <v>0</v>
      </c>
      <c r="F1063">
        <v>0</v>
      </c>
      <c r="G1063">
        <v>0</v>
      </c>
      <c r="H1063">
        <v>100</v>
      </c>
      <c r="I1063" s="183" t="s">
        <v>1098</v>
      </c>
      <c r="J1063" s="183" t="s">
        <v>12060</v>
      </c>
      <c r="K1063">
        <v>0</v>
      </c>
      <c r="L1063">
        <v>100</v>
      </c>
    </row>
    <row r="1064" spans="1:12">
      <c r="A1064" s="183" t="s">
        <v>2222</v>
      </c>
      <c r="B1064" s="183" t="s">
        <v>2223</v>
      </c>
      <c r="C1064">
        <v>50238216</v>
      </c>
      <c r="D1064">
        <v>49</v>
      </c>
      <c r="E1064">
        <v>0</v>
      </c>
      <c r="F1064">
        <v>0</v>
      </c>
      <c r="G1064">
        <v>0</v>
      </c>
      <c r="H1064">
        <v>49</v>
      </c>
      <c r="I1064" s="183" t="s">
        <v>1098</v>
      </c>
      <c r="J1064" s="183" t="s">
        <v>12054</v>
      </c>
      <c r="K1064">
        <v>0</v>
      </c>
      <c r="L1064">
        <v>49</v>
      </c>
    </row>
    <row r="1065" spans="1:12">
      <c r="A1065" s="183" t="s">
        <v>8067</v>
      </c>
      <c r="B1065" s="183" t="s">
        <v>8068</v>
      </c>
      <c r="C1065">
        <v>50238317</v>
      </c>
      <c r="D1065">
        <v>50</v>
      </c>
      <c r="E1065">
        <v>0</v>
      </c>
      <c r="F1065">
        <v>0</v>
      </c>
      <c r="G1065">
        <v>0</v>
      </c>
      <c r="H1065">
        <v>50</v>
      </c>
      <c r="I1065" s="183" t="s">
        <v>1098</v>
      </c>
      <c r="J1065" s="183" t="s">
        <v>12052</v>
      </c>
      <c r="K1065">
        <v>0</v>
      </c>
      <c r="L1065">
        <v>50</v>
      </c>
    </row>
    <row r="1066" spans="1:12">
      <c r="A1066" s="183" t="s">
        <v>1735</v>
      </c>
      <c r="B1066" s="183" t="s">
        <v>1736</v>
      </c>
      <c r="C1066">
        <v>50240103</v>
      </c>
      <c r="D1066">
        <v>39</v>
      </c>
      <c r="E1066">
        <v>0</v>
      </c>
      <c r="F1066">
        <v>0</v>
      </c>
      <c r="G1066">
        <v>0</v>
      </c>
      <c r="H1066">
        <v>39</v>
      </c>
      <c r="I1066" s="183" t="s">
        <v>1098</v>
      </c>
      <c r="J1066" s="183" t="s">
        <v>12067</v>
      </c>
      <c r="K1066">
        <v>0</v>
      </c>
      <c r="L1066">
        <v>39</v>
      </c>
    </row>
    <row r="1067" spans="1:12">
      <c r="A1067" s="183" t="s">
        <v>1903</v>
      </c>
      <c r="B1067" s="183" t="s">
        <v>1904</v>
      </c>
      <c r="C1067">
        <v>50240203</v>
      </c>
      <c r="D1067">
        <v>36</v>
      </c>
      <c r="E1067">
        <v>0</v>
      </c>
      <c r="F1067">
        <v>0</v>
      </c>
      <c r="G1067">
        <v>0</v>
      </c>
      <c r="H1067">
        <v>36</v>
      </c>
      <c r="I1067" s="183" t="s">
        <v>1098</v>
      </c>
      <c r="J1067" s="183" t="s">
        <v>12052</v>
      </c>
      <c r="K1067">
        <v>0</v>
      </c>
      <c r="L1067">
        <v>36</v>
      </c>
    </row>
    <row r="1068" spans="1:12">
      <c r="A1068" s="183" t="s">
        <v>2710</v>
      </c>
      <c r="B1068" s="183" t="s">
        <v>2711</v>
      </c>
      <c r="C1068">
        <v>50240316</v>
      </c>
      <c r="D1068">
        <v>33</v>
      </c>
      <c r="E1068">
        <v>0</v>
      </c>
      <c r="F1068">
        <v>0</v>
      </c>
      <c r="G1068">
        <v>0</v>
      </c>
      <c r="H1068">
        <v>33</v>
      </c>
      <c r="I1068" s="183" t="s">
        <v>1098</v>
      </c>
      <c r="J1068" s="183" t="s">
        <v>12056</v>
      </c>
      <c r="K1068">
        <v>0</v>
      </c>
      <c r="L1068">
        <v>33</v>
      </c>
    </row>
    <row r="1069" spans="1:12">
      <c r="A1069" s="183" t="s">
        <v>6137</v>
      </c>
      <c r="B1069" s="183" t="s">
        <v>6138</v>
      </c>
      <c r="C1069">
        <v>37178209</v>
      </c>
      <c r="D1069" s="501">
        <v>1047</v>
      </c>
      <c r="E1069">
        <v>0</v>
      </c>
      <c r="F1069">
        <v>3</v>
      </c>
      <c r="G1069">
        <v>0</v>
      </c>
      <c r="H1069" s="501">
        <v>1050</v>
      </c>
      <c r="I1069" s="183" t="s">
        <v>1016</v>
      </c>
      <c r="J1069" s="183" t="s">
        <v>12066</v>
      </c>
      <c r="K1069">
        <v>0</v>
      </c>
      <c r="L1069" s="501">
        <v>1047</v>
      </c>
    </row>
    <row r="1070" spans="1:12">
      <c r="A1070" s="183" t="s">
        <v>5088</v>
      </c>
      <c r="B1070" s="183" t="s">
        <v>5089</v>
      </c>
      <c r="C1070">
        <v>37178217</v>
      </c>
      <c r="D1070" s="501">
        <v>1087</v>
      </c>
      <c r="E1070">
        <v>0</v>
      </c>
      <c r="F1070">
        <v>4</v>
      </c>
      <c r="G1070">
        <v>0</v>
      </c>
      <c r="H1070" s="501">
        <v>1091</v>
      </c>
      <c r="I1070" s="183" t="s">
        <v>1016</v>
      </c>
      <c r="J1070" s="183" t="s">
        <v>12058</v>
      </c>
      <c r="K1070">
        <v>0</v>
      </c>
      <c r="L1070" s="501">
        <v>1087</v>
      </c>
    </row>
    <row r="1071" spans="1:12">
      <c r="A1071" s="183" t="s">
        <v>6381</v>
      </c>
      <c r="B1071" s="183" t="s">
        <v>6382</v>
      </c>
      <c r="C1071">
        <v>37178219</v>
      </c>
      <c r="D1071">
        <v>736</v>
      </c>
      <c r="E1071">
        <v>0</v>
      </c>
      <c r="F1071">
        <v>0</v>
      </c>
      <c r="G1071">
        <v>0</v>
      </c>
      <c r="H1071">
        <v>736</v>
      </c>
      <c r="I1071" s="183" t="s">
        <v>1016</v>
      </c>
      <c r="J1071" s="183" t="s">
        <v>12055</v>
      </c>
      <c r="K1071">
        <v>0</v>
      </c>
      <c r="L1071">
        <v>736</v>
      </c>
    </row>
    <row r="1072" spans="1:12">
      <c r="A1072" s="183" t="s">
        <v>691</v>
      </c>
      <c r="B1072" s="183" t="s">
        <v>685</v>
      </c>
      <c r="C1072">
        <v>37178236</v>
      </c>
      <c r="D1072">
        <v>238</v>
      </c>
      <c r="E1072">
        <v>0</v>
      </c>
      <c r="F1072">
        <v>0</v>
      </c>
      <c r="G1072">
        <v>0</v>
      </c>
      <c r="H1072">
        <v>238</v>
      </c>
      <c r="I1072" s="183" t="s">
        <v>1016</v>
      </c>
      <c r="J1072" s="183" t="s">
        <v>12063</v>
      </c>
      <c r="K1072">
        <v>0</v>
      </c>
      <c r="L1072">
        <v>238</v>
      </c>
    </row>
    <row r="1073" spans="1:12">
      <c r="A1073" s="183" t="s">
        <v>8533</v>
      </c>
      <c r="B1073" s="183" t="s">
        <v>8534</v>
      </c>
      <c r="C1073">
        <v>50222103</v>
      </c>
      <c r="D1073">
        <v>49</v>
      </c>
      <c r="E1073">
        <v>0</v>
      </c>
      <c r="F1073">
        <v>0</v>
      </c>
      <c r="G1073">
        <v>0</v>
      </c>
      <c r="H1073">
        <v>49</v>
      </c>
      <c r="I1073" s="183" t="s">
        <v>1098</v>
      </c>
      <c r="J1073" s="183" t="s">
        <v>12057</v>
      </c>
      <c r="K1073">
        <v>0</v>
      </c>
      <c r="L1073">
        <v>49</v>
      </c>
    </row>
    <row r="1074" spans="1:12">
      <c r="A1074" s="183" t="s">
        <v>2438</v>
      </c>
      <c r="B1074" s="183" t="s">
        <v>2439</v>
      </c>
      <c r="C1074">
        <v>50222116</v>
      </c>
      <c r="D1074">
        <v>29</v>
      </c>
      <c r="E1074">
        <v>0</v>
      </c>
      <c r="F1074">
        <v>0</v>
      </c>
      <c r="G1074">
        <v>0</v>
      </c>
      <c r="H1074">
        <v>29</v>
      </c>
      <c r="I1074" s="183" t="s">
        <v>1098</v>
      </c>
      <c r="J1074" s="183" t="s">
        <v>12061</v>
      </c>
      <c r="K1074">
        <v>0</v>
      </c>
      <c r="L1074">
        <v>29</v>
      </c>
    </row>
    <row r="1075" spans="1:12">
      <c r="A1075" s="183" t="s">
        <v>8543</v>
      </c>
      <c r="B1075" s="183" t="s">
        <v>8544</v>
      </c>
      <c r="C1075">
        <v>50222208</v>
      </c>
      <c r="D1075">
        <v>40</v>
      </c>
      <c r="E1075">
        <v>0</v>
      </c>
      <c r="F1075">
        <v>0</v>
      </c>
      <c r="G1075">
        <v>0</v>
      </c>
      <c r="H1075">
        <v>40</v>
      </c>
      <c r="I1075" s="183" t="s">
        <v>1098</v>
      </c>
      <c r="J1075" s="183" t="s">
        <v>12059</v>
      </c>
      <c r="K1075">
        <v>0</v>
      </c>
      <c r="L1075">
        <v>40</v>
      </c>
    </row>
    <row r="1076" spans="1:12">
      <c r="A1076" s="183" t="s">
        <v>1332</v>
      </c>
      <c r="B1076" s="183" t="s">
        <v>1333</v>
      </c>
      <c r="C1076">
        <v>50222216</v>
      </c>
      <c r="D1076">
        <v>32</v>
      </c>
      <c r="E1076">
        <v>0</v>
      </c>
      <c r="F1076">
        <v>0</v>
      </c>
      <c r="G1076">
        <v>0</v>
      </c>
      <c r="H1076">
        <v>32</v>
      </c>
      <c r="I1076" s="183" t="s">
        <v>1098</v>
      </c>
      <c r="J1076" s="183" t="s">
        <v>12057</v>
      </c>
      <c r="K1076">
        <v>0</v>
      </c>
      <c r="L1076">
        <v>32</v>
      </c>
    </row>
    <row r="1077" spans="1:12">
      <c r="A1077" s="183" t="s">
        <v>1787</v>
      </c>
      <c r="B1077" s="183" t="s">
        <v>1788</v>
      </c>
      <c r="C1077">
        <v>50222301</v>
      </c>
      <c r="D1077">
        <v>42</v>
      </c>
      <c r="E1077">
        <v>0</v>
      </c>
      <c r="F1077">
        <v>0</v>
      </c>
      <c r="G1077">
        <v>0</v>
      </c>
      <c r="H1077">
        <v>42</v>
      </c>
      <c r="I1077" s="183" t="s">
        <v>1098</v>
      </c>
      <c r="J1077" s="183" t="s">
        <v>12061</v>
      </c>
      <c r="K1077">
        <v>0</v>
      </c>
      <c r="L1077">
        <v>42</v>
      </c>
    </row>
    <row r="1078" spans="1:12">
      <c r="A1078" s="183" t="s">
        <v>1258</v>
      </c>
      <c r="B1078" s="183" t="s">
        <v>1259</v>
      </c>
      <c r="C1078">
        <v>50222517</v>
      </c>
      <c r="D1078">
        <v>13</v>
      </c>
      <c r="E1078">
        <v>0</v>
      </c>
      <c r="F1078">
        <v>0</v>
      </c>
      <c r="G1078">
        <v>0</v>
      </c>
      <c r="H1078">
        <v>13</v>
      </c>
      <c r="I1078" s="183" t="s">
        <v>1098</v>
      </c>
      <c r="J1078" s="183" t="s">
        <v>12052</v>
      </c>
      <c r="K1078">
        <v>0</v>
      </c>
      <c r="L1078">
        <v>13</v>
      </c>
    </row>
    <row r="1079" spans="1:12">
      <c r="A1079" s="183" t="s">
        <v>2300</v>
      </c>
      <c r="B1079" s="183" t="s">
        <v>2301</v>
      </c>
      <c r="C1079">
        <v>50223116</v>
      </c>
      <c r="D1079">
        <v>38</v>
      </c>
      <c r="E1079">
        <v>0</v>
      </c>
      <c r="F1079">
        <v>0</v>
      </c>
      <c r="G1079">
        <v>0</v>
      </c>
      <c r="H1079">
        <v>38</v>
      </c>
      <c r="I1079" s="183" t="s">
        <v>1098</v>
      </c>
      <c r="J1079" s="183" t="s">
        <v>12058</v>
      </c>
      <c r="K1079">
        <v>0</v>
      </c>
      <c r="L1079">
        <v>38</v>
      </c>
    </row>
    <row r="1080" spans="1:12">
      <c r="A1080" s="183" t="s">
        <v>8085</v>
      </c>
      <c r="B1080" s="183" t="s">
        <v>8086</v>
      </c>
      <c r="C1080">
        <v>50223317</v>
      </c>
      <c r="D1080">
        <v>50</v>
      </c>
      <c r="E1080">
        <v>0</v>
      </c>
      <c r="F1080">
        <v>0</v>
      </c>
      <c r="G1080">
        <v>0</v>
      </c>
      <c r="H1080">
        <v>50</v>
      </c>
      <c r="I1080" s="183" t="s">
        <v>1098</v>
      </c>
      <c r="J1080" s="183" t="s">
        <v>12056</v>
      </c>
      <c r="K1080">
        <v>0</v>
      </c>
      <c r="L1080">
        <v>50</v>
      </c>
    </row>
    <row r="1081" spans="1:12">
      <c r="A1081" s="183" t="s">
        <v>6992</v>
      </c>
      <c r="B1081" s="183" t="s">
        <v>6993</v>
      </c>
      <c r="C1081">
        <v>50224108</v>
      </c>
      <c r="D1081">
        <v>43</v>
      </c>
      <c r="E1081">
        <v>0</v>
      </c>
      <c r="F1081">
        <v>0</v>
      </c>
      <c r="G1081">
        <v>0</v>
      </c>
      <c r="H1081">
        <v>43</v>
      </c>
      <c r="I1081" s="183" t="s">
        <v>1098</v>
      </c>
      <c r="J1081" s="183" t="s">
        <v>12067</v>
      </c>
      <c r="K1081">
        <v>0</v>
      </c>
      <c r="L1081">
        <v>43</v>
      </c>
    </row>
    <row r="1082" spans="1:12">
      <c r="A1082" s="183" t="s">
        <v>1452</v>
      </c>
      <c r="B1082" s="183" t="s">
        <v>1453</v>
      </c>
      <c r="C1082">
        <v>50224115</v>
      </c>
      <c r="D1082">
        <v>53</v>
      </c>
      <c r="E1082">
        <v>0</v>
      </c>
      <c r="F1082">
        <v>0</v>
      </c>
      <c r="G1082">
        <v>0</v>
      </c>
      <c r="H1082">
        <v>53</v>
      </c>
      <c r="I1082" s="183" t="s">
        <v>1098</v>
      </c>
      <c r="J1082" s="183" t="s">
        <v>12091</v>
      </c>
      <c r="K1082">
        <v>0</v>
      </c>
      <c r="L1082">
        <v>53</v>
      </c>
    </row>
    <row r="1083" spans="1:12">
      <c r="A1083" s="183" t="s">
        <v>2283</v>
      </c>
      <c r="B1083" s="183" t="s">
        <v>2284</v>
      </c>
      <c r="C1083">
        <v>50224201</v>
      </c>
      <c r="D1083">
        <v>45</v>
      </c>
      <c r="E1083">
        <v>0</v>
      </c>
      <c r="F1083">
        <v>0</v>
      </c>
      <c r="G1083">
        <v>0</v>
      </c>
      <c r="H1083">
        <v>45</v>
      </c>
      <c r="I1083" s="183" t="s">
        <v>1098</v>
      </c>
      <c r="J1083" s="183" t="s">
        <v>12060</v>
      </c>
      <c r="K1083">
        <v>0</v>
      </c>
      <c r="L1083">
        <v>45</v>
      </c>
    </row>
    <row r="1084" spans="1:12">
      <c r="A1084" s="183" t="s">
        <v>2298</v>
      </c>
      <c r="B1084" s="183" t="s">
        <v>2299</v>
      </c>
      <c r="C1084">
        <v>50224203</v>
      </c>
      <c r="D1084">
        <v>96</v>
      </c>
      <c r="E1084">
        <v>0</v>
      </c>
      <c r="F1084">
        <v>0</v>
      </c>
      <c r="G1084">
        <v>0</v>
      </c>
      <c r="H1084">
        <v>96</v>
      </c>
      <c r="I1084" s="183" t="s">
        <v>1098</v>
      </c>
      <c r="J1084" s="183" t="s">
        <v>12052</v>
      </c>
      <c r="K1084">
        <v>0</v>
      </c>
      <c r="L1084">
        <v>96</v>
      </c>
    </row>
    <row r="1085" spans="1:12">
      <c r="A1085" s="183" t="s">
        <v>7102</v>
      </c>
      <c r="B1085" s="183" t="s">
        <v>7103</v>
      </c>
      <c r="C1085">
        <v>50224208</v>
      </c>
      <c r="D1085">
        <v>44</v>
      </c>
      <c r="E1085">
        <v>0</v>
      </c>
      <c r="F1085">
        <v>0</v>
      </c>
      <c r="G1085">
        <v>0</v>
      </c>
      <c r="H1085">
        <v>44</v>
      </c>
      <c r="I1085" s="183" t="s">
        <v>1098</v>
      </c>
      <c r="J1085" s="183" t="s">
        <v>12059</v>
      </c>
      <c r="K1085">
        <v>0</v>
      </c>
      <c r="L1085">
        <v>44</v>
      </c>
    </row>
    <row r="1086" spans="1:12">
      <c r="A1086" s="183" t="s">
        <v>8455</v>
      </c>
      <c r="B1086" s="183" t="s">
        <v>8456</v>
      </c>
      <c r="C1086">
        <v>50224315</v>
      </c>
      <c r="D1086">
        <v>28</v>
      </c>
      <c r="E1086">
        <v>0</v>
      </c>
      <c r="F1086">
        <v>0</v>
      </c>
      <c r="G1086">
        <v>0</v>
      </c>
      <c r="H1086">
        <v>28</v>
      </c>
      <c r="I1086" s="183" t="s">
        <v>1098</v>
      </c>
      <c r="J1086" s="183" t="s">
        <v>12061</v>
      </c>
      <c r="K1086">
        <v>0</v>
      </c>
      <c r="L1086">
        <v>28</v>
      </c>
    </row>
    <row r="1087" spans="1:12">
      <c r="A1087" s="183" t="s">
        <v>1334</v>
      </c>
      <c r="B1087" s="183" t="s">
        <v>1335</v>
      </c>
      <c r="C1087">
        <v>50226102</v>
      </c>
      <c r="D1087">
        <v>56</v>
      </c>
      <c r="E1087">
        <v>0</v>
      </c>
      <c r="F1087">
        <v>0</v>
      </c>
      <c r="G1087">
        <v>0</v>
      </c>
      <c r="H1087">
        <v>56</v>
      </c>
      <c r="I1087" s="183" t="s">
        <v>1098</v>
      </c>
      <c r="J1087" s="183" t="s">
        <v>12055</v>
      </c>
      <c r="K1087">
        <v>0</v>
      </c>
      <c r="L1087">
        <v>56</v>
      </c>
    </row>
    <row r="1088" spans="1:12">
      <c r="A1088" s="183" t="s">
        <v>2436</v>
      </c>
      <c r="B1088" s="183" t="s">
        <v>2437</v>
      </c>
      <c r="C1088">
        <v>50226108</v>
      </c>
      <c r="D1088">
        <v>103</v>
      </c>
      <c r="E1088">
        <v>0</v>
      </c>
      <c r="F1088">
        <v>0</v>
      </c>
      <c r="G1088">
        <v>0</v>
      </c>
      <c r="H1088">
        <v>103</v>
      </c>
      <c r="I1088" s="183" t="s">
        <v>1098</v>
      </c>
      <c r="J1088" s="183" t="s">
        <v>12060</v>
      </c>
      <c r="K1088">
        <v>0</v>
      </c>
      <c r="L1088">
        <v>103</v>
      </c>
    </row>
    <row r="1089" spans="1:12">
      <c r="A1089" s="183" t="s">
        <v>1467</v>
      </c>
      <c r="B1089" s="183" t="s">
        <v>1468</v>
      </c>
      <c r="C1089">
        <v>50226201</v>
      </c>
      <c r="D1089">
        <v>41</v>
      </c>
      <c r="E1089">
        <v>0</v>
      </c>
      <c r="F1089">
        <v>0</v>
      </c>
      <c r="G1089">
        <v>0</v>
      </c>
      <c r="H1089">
        <v>41</v>
      </c>
      <c r="I1089" s="183" t="s">
        <v>1098</v>
      </c>
      <c r="J1089" s="183" t="s">
        <v>12054</v>
      </c>
      <c r="K1089">
        <v>0</v>
      </c>
      <c r="L1089">
        <v>41</v>
      </c>
    </row>
    <row r="1090" spans="1:12">
      <c r="A1090" s="183" t="s">
        <v>2442</v>
      </c>
      <c r="B1090" s="183" t="s">
        <v>2443</v>
      </c>
      <c r="C1090">
        <v>50226203</v>
      </c>
      <c r="D1090">
        <v>49</v>
      </c>
      <c r="E1090">
        <v>0</v>
      </c>
      <c r="F1090">
        <v>0</v>
      </c>
      <c r="G1090">
        <v>0</v>
      </c>
      <c r="H1090">
        <v>49</v>
      </c>
      <c r="I1090" s="183" t="s">
        <v>1098</v>
      </c>
      <c r="J1090" s="183" t="s">
        <v>12055</v>
      </c>
      <c r="K1090">
        <v>0</v>
      </c>
      <c r="L1090">
        <v>49</v>
      </c>
    </row>
    <row r="1091" spans="1:12">
      <c r="A1091" s="183" t="s">
        <v>8426</v>
      </c>
      <c r="B1091" s="183" t="s">
        <v>8427</v>
      </c>
      <c r="C1091">
        <v>50226315</v>
      </c>
      <c r="D1091">
        <v>49</v>
      </c>
      <c r="E1091">
        <v>0</v>
      </c>
      <c r="F1091">
        <v>0</v>
      </c>
      <c r="G1091">
        <v>0</v>
      </c>
      <c r="H1091">
        <v>49</v>
      </c>
      <c r="I1091" s="183" t="s">
        <v>1098</v>
      </c>
      <c r="J1091" s="183" t="s">
        <v>12055</v>
      </c>
      <c r="K1091">
        <v>0</v>
      </c>
      <c r="L1091">
        <v>49</v>
      </c>
    </row>
    <row r="1092" spans="1:12">
      <c r="A1092" s="183" t="s">
        <v>1810</v>
      </c>
      <c r="B1092" s="183" t="s">
        <v>1811</v>
      </c>
      <c r="C1092">
        <v>50226401</v>
      </c>
      <c r="D1092">
        <v>44</v>
      </c>
      <c r="E1092">
        <v>0</v>
      </c>
      <c r="F1092">
        <v>0</v>
      </c>
      <c r="G1092">
        <v>0</v>
      </c>
      <c r="H1092">
        <v>44</v>
      </c>
      <c r="I1092" s="183" t="s">
        <v>1098</v>
      </c>
      <c r="J1092" s="183" t="s">
        <v>12063</v>
      </c>
      <c r="K1092">
        <v>0</v>
      </c>
      <c r="L1092">
        <v>44</v>
      </c>
    </row>
    <row r="1093" spans="1:12">
      <c r="A1093" s="183" t="s">
        <v>7207</v>
      </c>
      <c r="B1093" s="183" t="s">
        <v>7208</v>
      </c>
      <c r="C1093">
        <v>50226403</v>
      </c>
      <c r="D1093">
        <v>10</v>
      </c>
      <c r="E1093">
        <v>0</v>
      </c>
      <c r="F1093">
        <v>0</v>
      </c>
      <c r="G1093">
        <v>0</v>
      </c>
      <c r="H1093">
        <v>10</v>
      </c>
      <c r="I1093" s="183" t="s">
        <v>1098</v>
      </c>
      <c r="J1093" s="183" t="s">
        <v>12057</v>
      </c>
      <c r="K1093">
        <v>0</v>
      </c>
      <c r="L1093">
        <v>10</v>
      </c>
    </row>
    <row r="1094" spans="1:12">
      <c r="A1094" s="183" t="s">
        <v>2143</v>
      </c>
      <c r="B1094" s="183" t="s">
        <v>2144</v>
      </c>
      <c r="C1094">
        <v>50228110</v>
      </c>
      <c r="D1094">
        <v>50</v>
      </c>
      <c r="E1094">
        <v>0</v>
      </c>
      <c r="F1094">
        <v>0</v>
      </c>
      <c r="G1094">
        <v>0</v>
      </c>
      <c r="H1094">
        <v>50</v>
      </c>
      <c r="I1094" s="183" t="s">
        <v>1098</v>
      </c>
      <c r="J1094" s="183" t="s">
        <v>12056</v>
      </c>
      <c r="K1094">
        <v>0</v>
      </c>
      <c r="L1094">
        <v>50</v>
      </c>
    </row>
    <row r="1095" spans="1:12">
      <c r="A1095" s="183" t="s">
        <v>8037</v>
      </c>
      <c r="B1095" s="183" t="s">
        <v>8038</v>
      </c>
      <c r="C1095">
        <v>50228117</v>
      </c>
      <c r="D1095">
        <v>49</v>
      </c>
      <c r="E1095">
        <v>0</v>
      </c>
      <c r="F1095">
        <v>0</v>
      </c>
      <c r="G1095">
        <v>0</v>
      </c>
      <c r="H1095">
        <v>49</v>
      </c>
      <c r="I1095" s="183" t="s">
        <v>1098</v>
      </c>
      <c r="J1095" s="183" t="s">
        <v>12060</v>
      </c>
      <c r="K1095">
        <v>0</v>
      </c>
      <c r="L1095">
        <v>49</v>
      </c>
    </row>
    <row r="1096" spans="1:12">
      <c r="A1096" s="183" t="s">
        <v>2123</v>
      </c>
      <c r="B1096" s="183" t="s">
        <v>2124</v>
      </c>
      <c r="C1096">
        <v>50228201</v>
      </c>
      <c r="D1096">
        <v>188</v>
      </c>
      <c r="E1096">
        <v>0</v>
      </c>
      <c r="F1096">
        <v>0</v>
      </c>
      <c r="G1096">
        <v>0</v>
      </c>
      <c r="H1096">
        <v>188</v>
      </c>
      <c r="I1096" s="183" t="s">
        <v>1098</v>
      </c>
      <c r="J1096" s="183" t="s">
        <v>12052</v>
      </c>
      <c r="K1096">
        <v>0</v>
      </c>
      <c r="L1096">
        <v>188</v>
      </c>
    </row>
    <row r="1097" spans="1:12">
      <c r="A1097" s="183" t="s">
        <v>2665</v>
      </c>
      <c r="B1097" s="183" t="s">
        <v>2666</v>
      </c>
      <c r="C1097">
        <v>50228203</v>
      </c>
      <c r="D1097">
        <v>48</v>
      </c>
      <c r="E1097">
        <v>0</v>
      </c>
      <c r="F1097">
        <v>0</v>
      </c>
      <c r="G1097">
        <v>0</v>
      </c>
      <c r="H1097">
        <v>48</v>
      </c>
      <c r="I1097" s="183" t="s">
        <v>1098</v>
      </c>
      <c r="J1097" s="183" t="s">
        <v>12055</v>
      </c>
      <c r="K1097">
        <v>0</v>
      </c>
      <c r="L1097">
        <v>48</v>
      </c>
    </row>
    <row r="1098" spans="1:12">
      <c r="A1098" s="183" t="s">
        <v>2121</v>
      </c>
      <c r="B1098" s="183" t="s">
        <v>2122</v>
      </c>
      <c r="C1098">
        <v>50228208</v>
      </c>
      <c r="D1098">
        <v>50</v>
      </c>
      <c r="E1098">
        <v>0</v>
      </c>
      <c r="F1098">
        <v>0</v>
      </c>
      <c r="G1098">
        <v>0</v>
      </c>
      <c r="H1098">
        <v>50</v>
      </c>
      <c r="I1098" s="183" t="s">
        <v>1098</v>
      </c>
      <c r="J1098" s="183" t="s">
        <v>12057</v>
      </c>
      <c r="K1098">
        <v>0</v>
      </c>
      <c r="L1098">
        <v>50</v>
      </c>
    </row>
    <row r="1099" spans="1:12">
      <c r="A1099" s="183" t="s">
        <v>3008</v>
      </c>
      <c r="B1099" s="183" t="s">
        <v>3009</v>
      </c>
      <c r="C1099">
        <v>50228301</v>
      </c>
      <c r="D1099">
        <v>46</v>
      </c>
      <c r="E1099">
        <v>0</v>
      </c>
      <c r="F1099">
        <v>0</v>
      </c>
      <c r="G1099">
        <v>0</v>
      </c>
      <c r="H1099">
        <v>46</v>
      </c>
      <c r="I1099" s="183" t="s">
        <v>1098</v>
      </c>
      <c r="J1099" s="183" t="s">
        <v>12061</v>
      </c>
      <c r="K1099">
        <v>0</v>
      </c>
      <c r="L1099">
        <v>46</v>
      </c>
    </row>
    <row r="1100" spans="1:12">
      <c r="A1100" s="183" t="s">
        <v>8025</v>
      </c>
      <c r="B1100" s="183" t="s">
        <v>8026</v>
      </c>
      <c r="C1100">
        <v>50230117</v>
      </c>
      <c r="D1100">
        <v>47</v>
      </c>
      <c r="E1100">
        <v>0</v>
      </c>
      <c r="F1100">
        <v>0</v>
      </c>
      <c r="G1100">
        <v>0</v>
      </c>
      <c r="H1100">
        <v>47</v>
      </c>
      <c r="I1100" s="183" t="s">
        <v>1098</v>
      </c>
      <c r="J1100" s="183" t="s">
        <v>12060</v>
      </c>
      <c r="K1100">
        <v>0</v>
      </c>
      <c r="L1100">
        <v>47</v>
      </c>
    </row>
    <row r="1101" spans="1:12">
      <c r="A1101" s="183" t="s">
        <v>8308</v>
      </c>
      <c r="B1101" s="183" t="s">
        <v>8309</v>
      </c>
      <c r="C1101">
        <v>50230210</v>
      </c>
      <c r="D1101">
        <v>50</v>
      </c>
      <c r="E1101">
        <v>0</v>
      </c>
      <c r="F1101">
        <v>0</v>
      </c>
      <c r="G1101">
        <v>0</v>
      </c>
      <c r="H1101">
        <v>50</v>
      </c>
      <c r="I1101" s="183" t="s">
        <v>1098</v>
      </c>
      <c r="J1101" s="183" t="s">
        <v>12054</v>
      </c>
      <c r="K1101">
        <v>0</v>
      </c>
      <c r="L1101">
        <v>50</v>
      </c>
    </row>
    <row r="1102" spans="1:12">
      <c r="A1102" s="183" t="s">
        <v>2285</v>
      </c>
      <c r="B1102" s="183" t="s">
        <v>2286</v>
      </c>
      <c r="C1102">
        <v>50230216</v>
      </c>
      <c r="D1102">
        <v>44</v>
      </c>
      <c r="E1102">
        <v>0</v>
      </c>
      <c r="F1102">
        <v>0</v>
      </c>
      <c r="G1102">
        <v>0</v>
      </c>
      <c r="H1102">
        <v>44</v>
      </c>
      <c r="I1102" s="183" t="s">
        <v>1098</v>
      </c>
      <c r="J1102" s="183" t="s">
        <v>12055</v>
      </c>
      <c r="K1102">
        <v>0</v>
      </c>
      <c r="L1102">
        <v>44</v>
      </c>
    </row>
    <row r="1103" spans="1:12">
      <c r="A1103" s="183" t="s">
        <v>2125</v>
      </c>
      <c r="B1103" s="183" t="s">
        <v>2126</v>
      </c>
      <c r="C1103">
        <v>50230502</v>
      </c>
      <c r="D1103">
        <v>46</v>
      </c>
      <c r="E1103">
        <v>0</v>
      </c>
      <c r="F1103">
        <v>0</v>
      </c>
      <c r="G1103">
        <v>0</v>
      </c>
      <c r="H1103">
        <v>46</v>
      </c>
      <c r="I1103" s="183" t="s">
        <v>1098</v>
      </c>
      <c r="J1103" s="183" t="s">
        <v>12050</v>
      </c>
      <c r="K1103">
        <v>0</v>
      </c>
      <c r="L1103">
        <v>46</v>
      </c>
    </row>
    <row r="1104" spans="1:12">
      <c r="A1104" s="183" t="s">
        <v>1465</v>
      </c>
      <c r="B1104" s="183" t="s">
        <v>1466</v>
      </c>
      <c r="C1104">
        <v>50230510</v>
      </c>
      <c r="D1104">
        <v>48</v>
      </c>
      <c r="E1104">
        <v>0</v>
      </c>
      <c r="F1104">
        <v>0</v>
      </c>
      <c r="G1104">
        <v>0</v>
      </c>
      <c r="H1104">
        <v>48</v>
      </c>
      <c r="I1104" s="183" t="s">
        <v>1098</v>
      </c>
      <c r="J1104" s="183" t="s">
        <v>12052</v>
      </c>
      <c r="K1104">
        <v>0</v>
      </c>
      <c r="L1104">
        <v>48</v>
      </c>
    </row>
    <row r="1105" spans="1:12">
      <c r="A1105" s="183" t="s">
        <v>1635</v>
      </c>
      <c r="B1105" s="183" t="s">
        <v>1636</v>
      </c>
      <c r="C1105">
        <v>50232210</v>
      </c>
      <c r="D1105">
        <v>106</v>
      </c>
      <c r="E1105">
        <v>0</v>
      </c>
      <c r="F1105">
        <v>0</v>
      </c>
      <c r="G1105">
        <v>0</v>
      </c>
      <c r="H1105">
        <v>106</v>
      </c>
      <c r="I1105" s="183" t="s">
        <v>1098</v>
      </c>
      <c r="J1105" s="183" t="s">
        <v>12059</v>
      </c>
      <c r="K1105">
        <v>0</v>
      </c>
      <c r="L1105">
        <v>106</v>
      </c>
    </row>
    <row r="1106" spans="1:12">
      <c r="A1106" s="183" t="s">
        <v>2140</v>
      </c>
      <c r="B1106" s="183" t="s">
        <v>2141</v>
      </c>
      <c r="C1106">
        <v>50232215</v>
      </c>
      <c r="D1106">
        <v>47</v>
      </c>
      <c r="E1106">
        <v>0</v>
      </c>
      <c r="F1106">
        <v>0</v>
      </c>
      <c r="G1106">
        <v>0</v>
      </c>
      <c r="H1106">
        <v>47</v>
      </c>
      <c r="I1106" s="183" t="s">
        <v>1098</v>
      </c>
      <c r="J1106" s="183" t="s">
        <v>12056</v>
      </c>
      <c r="K1106">
        <v>0</v>
      </c>
      <c r="L1106">
        <v>47</v>
      </c>
    </row>
    <row r="1107" spans="1:12">
      <c r="A1107" s="183" t="s">
        <v>8230</v>
      </c>
      <c r="B1107" s="183" t="s">
        <v>8231</v>
      </c>
      <c r="C1107">
        <v>50232315</v>
      </c>
      <c r="D1107">
        <v>50</v>
      </c>
      <c r="E1107">
        <v>0</v>
      </c>
      <c r="F1107">
        <v>0</v>
      </c>
      <c r="G1107">
        <v>0</v>
      </c>
      <c r="H1107">
        <v>50</v>
      </c>
      <c r="I1107" s="183" t="s">
        <v>1098</v>
      </c>
      <c r="J1107" s="183" t="s">
        <v>12057</v>
      </c>
      <c r="K1107">
        <v>0</v>
      </c>
      <c r="L1107">
        <v>50</v>
      </c>
    </row>
    <row r="1108" spans="1:12">
      <c r="A1108" s="183" t="s">
        <v>2130</v>
      </c>
      <c r="B1108" s="183" t="s">
        <v>2131</v>
      </c>
      <c r="C1108">
        <v>50232402</v>
      </c>
      <c r="D1108">
        <v>49</v>
      </c>
      <c r="E1108">
        <v>0</v>
      </c>
      <c r="F1108">
        <v>0</v>
      </c>
      <c r="G1108">
        <v>0</v>
      </c>
      <c r="H1108">
        <v>49</v>
      </c>
      <c r="I1108" s="183" t="s">
        <v>1098</v>
      </c>
      <c r="J1108" s="183" t="s">
        <v>12056</v>
      </c>
      <c r="K1108">
        <v>0</v>
      </c>
      <c r="L1108">
        <v>49</v>
      </c>
    </row>
    <row r="1109" spans="1:12">
      <c r="A1109" s="183" t="s">
        <v>1978</v>
      </c>
      <c r="B1109" s="183" t="s">
        <v>1979</v>
      </c>
      <c r="C1109">
        <v>50232410</v>
      </c>
      <c r="D1109">
        <v>50</v>
      </c>
      <c r="E1109">
        <v>0</v>
      </c>
      <c r="F1109">
        <v>0</v>
      </c>
      <c r="G1109">
        <v>0</v>
      </c>
      <c r="H1109">
        <v>50</v>
      </c>
      <c r="I1109" s="183" t="s">
        <v>1098</v>
      </c>
      <c r="J1109" s="183" t="s">
        <v>12060</v>
      </c>
      <c r="K1109">
        <v>0</v>
      </c>
      <c r="L1109">
        <v>50</v>
      </c>
    </row>
    <row r="1110" spans="1:12">
      <c r="A1110" s="183" t="s">
        <v>8537</v>
      </c>
      <c r="B1110" s="183" t="s">
        <v>8538</v>
      </c>
      <c r="C1110">
        <v>50234101</v>
      </c>
      <c r="D1110">
        <v>36</v>
      </c>
      <c r="E1110">
        <v>0</v>
      </c>
      <c r="F1110">
        <v>0</v>
      </c>
      <c r="G1110">
        <v>0</v>
      </c>
      <c r="H1110">
        <v>36</v>
      </c>
      <c r="I1110" s="183" t="s">
        <v>1098</v>
      </c>
      <c r="J1110" s="183" t="s">
        <v>12061</v>
      </c>
      <c r="K1110">
        <v>0</v>
      </c>
      <c r="L1110">
        <v>36</v>
      </c>
    </row>
    <row r="1111" spans="1:12">
      <c r="A1111" s="183" t="s">
        <v>6990</v>
      </c>
      <c r="B1111" s="183" t="s">
        <v>6991</v>
      </c>
      <c r="C1111">
        <v>50234103</v>
      </c>
      <c r="D1111">
        <v>42</v>
      </c>
      <c r="E1111">
        <v>0</v>
      </c>
      <c r="F1111">
        <v>0</v>
      </c>
      <c r="G1111">
        <v>0</v>
      </c>
      <c r="H1111">
        <v>42</v>
      </c>
      <c r="I1111" s="183" t="s">
        <v>1098</v>
      </c>
      <c r="J1111" s="183" t="s">
        <v>12052</v>
      </c>
      <c r="K1111">
        <v>0</v>
      </c>
      <c r="L1111">
        <v>42</v>
      </c>
    </row>
    <row r="1112" spans="1:12">
      <c r="A1112" s="183" t="s">
        <v>2278</v>
      </c>
      <c r="B1112" s="183" t="s">
        <v>2279</v>
      </c>
      <c r="C1112">
        <v>50234202</v>
      </c>
      <c r="D1112">
        <v>49</v>
      </c>
      <c r="E1112">
        <v>0</v>
      </c>
      <c r="F1112">
        <v>0</v>
      </c>
      <c r="G1112">
        <v>0</v>
      </c>
      <c r="H1112">
        <v>49</v>
      </c>
      <c r="I1112" s="183" t="s">
        <v>1098</v>
      </c>
      <c r="J1112" s="183" t="s">
        <v>12057</v>
      </c>
      <c r="K1112">
        <v>0</v>
      </c>
      <c r="L1112">
        <v>49</v>
      </c>
    </row>
    <row r="1113" spans="1:12">
      <c r="A1113" s="183" t="s">
        <v>2453</v>
      </c>
      <c r="B1113" s="183" t="s">
        <v>2454</v>
      </c>
      <c r="C1113">
        <v>50234516</v>
      </c>
      <c r="D1113">
        <v>50</v>
      </c>
      <c r="E1113">
        <v>0</v>
      </c>
      <c r="F1113">
        <v>0</v>
      </c>
      <c r="G1113">
        <v>0</v>
      </c>
      <c r="H1113">
        <v>50</v>
      </c>
      <c r="I1113" s="183" t="s">
        <v>1098</v>
      </c>
      <c r="J1113" s="183" t="s">
        <v>12054</v>
      </c>
      <c r="K1113">
        <v>0</v>
      </c>
      <c r="L1113">
        <v>50</v>
      </c>
    </row>
    <row r="1114" spans="1:12">
      <c r="A1114" s="183" t="s">
        <v>1254</v>
      </c>
      <c r="B1114" s="183" t="s">
        <v>1255</v>
      </c>
      <c r="C1114">
        <v>50236201</v>
      </c>
      <c r="D1114">
        <v>50</v>
      </c>
      <c r="E1114">
        <v>0</v>
      </c>
      <c r="F1114">
        <v>0</v>
      </c>
      <c r="G1114">
        <v>0</v>
      </c>
      <c r="H1114">
        <v>50</v>
      </c>
      <c r="I1114" s="183" t="s">
        <v>1098</v>
      </c>
      <c r="J1114" s="183" t="s">
        <v>12063</v>
      </c>
      <c r="K1114">
        <v>0</v>
      </c>
      <c r="L1114">
        <v>50</v>
      </c>
    </row>
    <row r="1115" spans="1:12">
      <c r="A1115" s="183" t="s">
        <v>1470</v>
      </c>
      <c r="B1115" s="183" t="s">
        <v>1471</v>
      </c>
      <c r="C1115">
        <v>50236203</v>
      </c>
      <c r="D1115">
        <v>49</v>
      </c>
      <c r="E1115">
        <v>0</v>
      </c>
      <c r="F1115">
        <v>0</v>
      </c>
      <c r="G1115">
        <v>0</v>
      </c>
      <c r="H1115">
        <v>49</v>
      </c>
      <c r="I1115" s="183" t="s">
        <v>1098</v>
      </c>
      <c r="J1115" s="183" t="s">
        <v>12066</v>
      </c>
      <c r="K1115">
        <v>0</v>
      </c>
      <c r="L1115">
        <v>49</v>
      </c>
    </row>
    <row r="1116" spans="1:12">
      <c r="A1116" s="183" t="s">
        <v>6071</v>
      </c>
      <c r="B1116" s="183" t="s">
        <v>6072</v>
      </c>
      <c r="C1116">
        <v>50236208</v>
      </c>
      <c r="D1116">
        <v>50</v>
      </c>
      <c r="E1116">
        <v>0</v>
      </c>
      <c r="F1116">
        <v>0</v>
      </c>
      <c r="G1116">
        <v>0</v>
      </c>
      <c r="H1116">
        <v>50</v>
      </c>
      <c r="I1116" s="183" t="s">
        <v>1098</v>
      </c>
      <c r="J1116" s="183" t="s">
        <v>12057</v>
      </c>
      <c r="K1116">
        <v>0</v>
      </c>
      <c r="L1116">
        <v>50</v>
      </c>
    </row>
    <row r="1117" spans="1:12">
      <c r="A1117" s="183" t="s">
        <v>2765</v>
      </c>
      <c r="B1117" s="183" t="s">
        <v>2766</v>
      </c>
      <c r="C1117">
        <v>50222217</v>
      </c>
      <c r="D1117">
        <v>47</v>
      </c>
      <c r="E1117">
        <v>0</v>
      </c>
      <c r="F1117">
        <v>0</v>
      </c>
      <c r="G1117">
        <v>0</v>
      </c>
      <c r="H1117">
        <v>47</v>
      </c>
      <c r="I1117" s="183" t="s">
        <v>1098</v>
      </c>
      <c r="J1117" s="183" t="s">
        <v>12057</v>
      </c>
      <c r="K1117">
        <v>0</v>
      </c>
      <c r="L1117">
        <v>47</v>
      </c>
    </row>
    <row r="1118" spans="1:12">
      <c r="A1118" s="183" t="s">
        <v>8298</v>
      </c>
      <c r="B1118" s="183" t="s">
        <v>8299</v>
      </c>
      <c r="C1118">
        <v>50222316</v>
      </c>
      <c r="D1118">
        <v>49</v>
      </c>
      <c r="E1118">
        <v>0</v>
      </c>
      <c r="F1118">
        <v>0</v>
      </c>
      <c r="G1118">
        <v>0</v>
      </c>
      <c r="H1118">
        <v>49</v>
      </c>
      <c r="I1118" s="183" t="s">
        <v>1098</v>
      </c>
      <c r="J1118" s="183" t="s">
        <v>12059</v>
      </c>
      <c r="K1118">
        <v>0</v>
      </c>
      <c r="L1118">
        <v>49</v>
      </c>
    </row>
    <row r="1119" spans="1:12">
      <c r="A1119" s="183" t="s">
        <v>6898</v>
      </c>
      <c r="B1119" s="183" t="s">
        <v>6899</v>
      </c>
      <c r="C1119">
        <v>50223103</v>
      </c>
      <c r="D1119">
        <v>27</v>
      </c>
      <c r="E1119">
        <v>0</v>
      </c>
      <c r="F1119">
        <v>0</v>
      </c>
      <c r="G1119">
        <v>0</v>
      </c>
      <c r="H1119">
        <v>27</v>
      </c>
      <c r="I1119" s="183" t="s">
        <v>1098</v>
      </c>
      <c r="J1119" s="183" t="s">
        <v>12056</v>
      </c>
      <c r="K1119">
        <v>0</v>
      </c>
      <c r="L1119">
        <v>27</v>
      </c>
    </row>
    <row r="1120" spans="1:12">
      <c r="A1120" s="183" t="s">
        <v>2895</v>
      </c>
      <c r="B1120" s="183" t="s">
        <v>2896</v>
      </c>
      <c r="C1120">
        <v>50223202</v>
      </c>
      <c r="D1120">
        <v>49</v>
      </c>
      <c r="E1120">
        <v>0</v>
      </c>
      <c r="F1120">
        <v>0</v>
      </c>
      <c r="G1120">
        <v>0</v>
      </c>
      <c r="H1120">
        <v>49</v>
      </c>
      <c r="I1120" s="183" t="s">
        <v>1098</v>
      </c>
      <c r="J1120" s="183" t="s">
        <v>12052</v>
      </c>
      <c r="K1120">
        <v>0</v>
      </c>
      <c r="L1120">
        <v>49</v>
      </c>
    </row>
    <row r="1121" spans="1:12">
      <c r="A1121" s="183" t="s">
        <v>2824</v>
      </c>
      <c r="B1121" s="183" t="s">
        <v>2825</v>
      </c>
      <c r="C1121">
        <v>50223216</v>
      </c>
      <c r="D1121">
        <v>47</v>
      </c>
      <c r="E1121">
        <v>0</v>
      </c>
      <c r="F1121">
        <v>0</v>
      </c>
      <c r="G1121">
        <v>0</v>
      </c>
      <c r="H1121">
        <v>47</v>
      </c>
      <c r="I1121" s="183" t="s">
        <v>1098</v>
      </c>
      <c r="J1121" s="183" t="s">
        <v>12056</v>
      </c>
      <c r="K1121">
        <v>0</v>
      </c>
      <c r="L1121">
        <v>47</v>
      </c>
    </row>
    <row r="1122" spans="1:12">
      <c r="A1122" s="183" t="s">
        <v>8332</v>
      </c>
      <c r="B1122" s="183" t="s">
        <v>8333</v>
      </c>
      <c r="C1122">
        <v>50226110</v>
      </c>
      <c r="D1122">
        <v>55</v>
      </c>
      <c r="E1122">
        <v>0</v>
      </c>
      <c r="F1122">
        <v>0</v>
      </c>
      <c r="G1122">
        <v>0</v>
      </c>
      <c r="H1122">
        <v>55</v>
      </c>
      <c r="I1122" s="183" t="s">
        <v>1098</v>
      </c>
      <c r="J1122" s="183" t="s">
        <v>12060</v>
      </c>
      <c r="K1122">
        <v>0</v>
      </c>
      <c r="L1122">
        <v>55</v>
      </c>
    </row>
    <row r="1123" spans="1:12">
      <c r="A1123" s="183" t="s">
        <v>7997</v>
      </c>
      <c r="B1123" s="183" t="s">
        <v>7998</v>
      </c>
      <c r="C1123">
        <v>50226117</v>
      </c>
      <c r="D1123">
        <v>47</v>
      </c>
      <c r="E1123">
        <v>0</v>
      </c>
      <c r="F1123">
        <v>0</v>
      </c>
      <c r="G1123">
        <v>0</v>
      </c>
      <c r="H1123">
        <v>47</v>
      </c>
      <c r="I1123" s="183" t="s">
        <v>1098</v>
      </c>
      <c r="J1123" s="183" t="s">
        <v>12050</v>
      </c>
      <c r="K1123">
        <v>0</v>
      </c>
      <c r="L1123">
        <v>47</v>
      </c>
    </row>
    <row r="1124" spans="1:12">
      <c r="A1124" s="183" t="s">
        <v>2769</v>
      </c>
      <c r="B1124" s="183" t="s">
        <v>2770</v>
      </c>
      <c r="C1124">
        <v>50226210</v>
      </c>
      <c r="D1124">
        <v>49</v>
      </c>
      <c r="E1124">
        <v>0</v>
      </c>
      <c r="F1124">
        <v>0</v>
      </c>
      <c r="G1124">
        <v>0</v>
      </c>
      <c r="H1124">
        <v>49</v>
      </c>
      <c r="I1124" s="183" t="s">
        <v>1098</v>
      </c>
      <c r="J1124" s="183" t="s">
        <v>12052</v>
      </c>
      <c r="K1124">
        <v>0</v>
      </c>
      <c r="L1124">
        <v>49</v>
      </c>
    </row>
    <row r="1125" spans="1:12">
      <c r="A1125" s="183" t="s">
        <v>2854</v>
      </c>
      <c r="B1125" s="183" t="s">
        <v>2855</v>
      </c>
      <c r="C1125">
        <v>50226301</v>
      </c>
      <c r="D1125">
        <v>22</v>
      </c>
      <c r="E1125">
        <v>0</v>
      </c>
      <c r="F1125">
        <v>0</v>
      </c>
      <c r="G1125">
        <v>0</v>
      </c>
      <c r="H1125">
        <v>22</v>
      </c>
      <c r="I1125" s="183" t="s">
        <v>1098</v>
      </c>
      <c r="J1125" s="183" t="s">
        <v>12056</v>
      </c>
      <c r="K1125">
        <v>0</v>
      </c>
      <c r="L1125">
        <v>22</v>
      </c>
    </row>
    <row r="1126" spans="1:12">
      <c r="A1126" s="183" t="s">
        <v>2800</v>
      </c>
      <c r="B1126" s="183" t="s">
        <v>2801</v>
      </c>
      <c r="C1126">
        <v>50226303</v>
      </c>
      <c r="D1126">
        <v>50</v>
      </c>
      <c r="E1126">
        <v>0</v>
      </c>
      <c r="F1126">
        <v>0</v>
      </c>
      <c r="G1126">
        <v>0</v>
      </c>
      <c r="H1126">
        <v>50</v>
      </c>
      <c r="I1126" s="183" t="s">
        <v>1098</v>
      </c>
      <c r="J1126" s="183" t="s">
        <v>12056</v>
      </c>
      <c r="K1126">
        <v>0</v>
      </c>
      <c r="L1126">
        <v>50</v>
      </c>
    </row>
    <row r="1127" spans="1:12">
      <c r="A1127" s="183" t="s">
        <v>8485</v>
      </c>
      <c r="B1127" s="183" t="s">
        <v>8486</v>
      </c>
      <c r="C1127">
        <v>50228215</v>
      </c>
      <c r="D1127">
        <v>62</v>
      </c>
      <c r="E1127">
        <v>0</v>
      </c>
      <c r="F1127">
        <v>0</v>
      </c>
      <c r="G1127">
        <v>0</v>
      </c>
      <c r="H1127">
        <v>62</v>
      </c>
      <c r="I1127" s="183" t="s">
        <v>1098</v>
      </c>
      <c r="J1127" s="183" t="s">
        <v>12055</v>
      </c>
      <c r="K1127">
        <v>0</v>
      </c>
      <c r="L1127">
        <v>62</v>
      </c>
    </row>
    <row r="1128" spans="1:12">
      <c r="A1128" s="183" t="s">
        <v>2885</v>
      </c>
      <c r="B1128" s="183" t="s">
        <v>2886</v>
      </c>
      <c r="C1128">
        <v>50228402</v>
      </c>
      <c r="D1128">
        <v>36</v>
      </c>
      <c r="E1128">
        <v>0</v>
      </c>
      <c r="F1128">
        <v>0</v>
      </c>
      <c r="G1128">
        <v>0</v>
      </c>
      <c r="H1128">
        <v>36</v>
      </c>
      <c r="I1128" s="183" t="s">
        <v>1098</v>
      </c>
      <c r="J1128" s="183" t="s">
        <v>12058</v>
      </c>
      <c r="K1128">
        <v>0</v>
      </c>
      <c r="L1128">
        <v>36</v>
      </c>
    </row>
    <row r="1129" spans="1:12">
      <c r="A1129" s="183" t="s">
        <v>8194</v>
      </c>
      <c r="B1129" s="183" t="s">
        <v>8195</v>
      </c>
      <c r="C1129">
        <v>50230316</v>
      </c>
      <c r="D1129">
        <v>48</v>
      </c>
      <c r="E1129">
        <v>0</v>
      </c>
      <c r="F1129">
        <v>0</v>
      </c>
      <c r="G1129">
        <v>0</v>
      </c>
      <c r="H1129">
        <v>48</v>
      </c>
      <c r="I1129" s="183" t="s">
        <v>1098</v>
      </c>
      <c r="J1129" s="183" t="s">
        <v>12061</v>
      </c>
      <c r="K1129">
        <v>0</v>
      </c>
      <c r="L1129">
        <v>48</v>
      </c>
    </row>
    <row r="1130" spans="1:12">
      <c r="A1130" s="183" t="s">
        <v>2829</v>
      </c>
      <c r="B1130" s="183" t="s">
        <v>2830</v>
      </c>
      <c r="C1130">
        <v>50230417</v>
      </c>
      <c r="D1130">
        <v>48</v>
      </c>
      <c r="E1130">
        <v>0</v>
      </c>
      <c r="F1130">
        <v>0</v>
      </c>
      <c r="G1130">
        <v>0</v>
      </c>
      <c r="H1130">
        <v>48</v>
      </c>
      <c r="I1130" s="183" t="s">
        <v>1098</v>
      </c>
      <c r="J1130" s="183" t="s">
        <v>12057</v>
      </c>
      <c r="K1130">
        <v>0</v>
      </c>
      <c r="L1130">
        <v>48</v>
      </c>
    </row>
    <row r="1131" spans="1:12">
      <c r="A1131" s="183" t="s">
        <v>7252</v>
      </c>
      <c r="B1131" s="183" t="s">
        <v>7253</v>
      </c>
      <c r="C1131">
        <v>50230508</v>
      </c>
      <c r="D1131">
        <v>15</v>
      </c>
      <c r="E1131">
        <v>0</v>
      </c>
      <c r="F1131">
        <v>0</v>
      </c>
      <c r="G1131">
        <v>0</v>
      </c>
      <c r="H1131">
        <v>15</v>
      </c>
      <c r="I1131" s="183" t="s">
        <v>1098</v>
      </c>
      <c r="J1131" s="183" t="s">
        <v>12063</v>
      </c>
      <c r="K1131">
        <v>0</v>
      </c>
      <c r="L1131">
        <v>15</v>
      </c>
    </row>
    <row r="1132" spans="1:12">
      <c r="A1132" s="183" t="s">
        <v>2818</v>
      </c>
      <c r="B1132" s="183" t="s">
        <v>2819</v>
      </c>
      <c r="C1132">
        <v>50232101</v>
      </c>
      <c r="D1132">
        <v>87</v>
      </c>
      <c r="E1132">
        <v>0</v>
      </c>
      <c r="F1132">
        <v>0</v>
      </c>
      <c r="G1132">
        <v>0</v>
      </c>
      <c r="H1132">
        <v>87</v>
      </c>
      <c r="I1132" s="183" t="s">
        <v>1098</v>
      </c>
      <c r="J1132" s="183" t="s">
        <v>12056</v>
      </c>
      <c r="K1132">
        <v>0</v>
      </c>
      <c r="L1132">
        <v>87</v>
      </c>
    </row>
    <row r="1133" spans="1:12">
      <c r="A1133" s="183" t="s">
        <v>2796</v>
      </c>
      <c r="B1133" s="183" t="s">
        <v>2797</v>
      </c>
      <c r="C1133">
        <v>50232103</v>
      </c>
      <c r="D1133">
        <v>48</v>
      </c>
      <c r="E1133">
        <v>0</v>
      </c>
      <c r="F1133">
        <v>0</v>
      </c>
      <c r="G1133">
        <v>0</v>
      </c>
      <c r="H1133">
        <v>48</v>
      </c>
      <c r="I1133" s="183" t="s">
        <v>1098</v>
      </c>
      <c r="J1133" s="183" t="s">
        <v>12063</v>
      </c>
      <c r="K1133">
        <v>0</v>
      </c>
      <c r="L1133">
        <v>48</v>
      </c>
    </row>
    <row r="1134" spans="1:12">
      <c r="A1134" s="183" t="s">
        <v>2743</v>
      </c>
      <c r="B1134" s="183" t="s">
        <v>2744</v>
      </c>
      <c r="C1134">
        <v>50232201</v>
      </c>
      <c r="D1134">
        <v>47</v>
      </c>
      <c r="E1134">
        <v>0</v>
      </c>
      <c r="F1134">
        <v>0</v>
      </c>
      <c r="G1134">
        <v>0</v>
      </c>
      <c r="H1134">
        <v>47</v>
      </c>
      <c r="I1134" s="183" t="s">
        <v>1098</v>
      </c>
      <c r="J1134" s="183" t="s">
        <v>12067</v>
      </c>
      <c r="K1134">
        <v>0</v>
      </c>
      <c r="L1134">
        <v>47</v>
      </c>
    </row>
    <row r="1135" spans="1:12">
      <c r="A1135" s="183" t="s">
        <v>2849</v>
      </c>
      <c r="B1135" s="183" t="s">
        <v>2850</v>
      </c>
      <c r="C1135">
        <v>50232403</v>
      </c>
      <c r="D1135">
        <v>50</v>
      </c>
      <c r="E1135">
        <v>0</v>
      </c>
      <c r="F1135">
        <v>0</v>
      </c>
      <c r="G1135">
        <v>0</v>
      </c>
      <c r="H1135">
        <v>50</v>
      </c>
      <c r="I1135" s="183" t="s">
        <v>1098</v>
      </c>
      <c r="J1135" s="183" t="s">
        <v>12056</v>
      </c>
      <c r="K1135">
        <v>0</v>
      </c>
      <c r="L1135">
        <v>50</v>
      </c>
    </row>
    <row r="1136" spans="1:12">
      <c r="A1136" s="183" t="s">
        <v>2783</v>
      </c>
      <c r="B1136" s="183" t="s">
        <v>2784</v>
      </c>
      <c r="C1136">
        <v>50234203</v>
      </c>
      <c r="D1136">
        <v>47</v>
      </c>
      <c r="E1136">
        <v>0</v>
      </c>
      <c r="F1136">
        <v>0</v>
      </c>
      <c r="G1136">
        <v>0</v>
      </c>
      <c r="H1136">
        <v>47</v>
      </c>
      <c r="I1136" s="183" t="s">
        <v>1098</v>
      </c>
      <c r="J1136" s="183" t="s">
        <v>12057</v>
      </c>
      <c r="K1136">
        <v>0</v>
      </c>
      <c r="L1136">
        <v>47</v>
      </c>
    </row>
    <row r="1137" spans="1:12">
      <c r="A1137" s="183" t="s">
        <v>2877</v>
      </c>
      <c r="B1137" s="183" t="s">
        <v>2878</v>
      </c>
      <c r="C1137">
        <v>50234215</v>
      </c>
      <c r="D1137">
        <v>62</v>
      </c>
      <c r="E1137">
        <v>0</v>
      </c>
      <c r="F1137">
        <v>0</v>
      </c>
      <c r="G1137">
        <v>0</v>
      </c>
      <c r="H1137">
        <v>62</v>
      </c>
      <c r="I1137" s="183" t="s">
        <v>1098</v>
      </c>
      <c r="J1137" s="183" t="s">
        <v>12052</v>
      </c>
      <c r="K1137">
        <v>0</v>
      </c>
      <c r="L1137">
        <v>62</v>
      </c>
    </row>
    <row r="1138" spans="1:12">
      <c r="A1138" s="183" t="s">
        <v>2842</v>
      </c>
      <c r="B1138" s="183" t="s">
        <v>2843</v>
      </c>
      <c r="C1138">
        <v>50234302</v>
      </c>
      <c r="D1138">
        <v>55</v>
      </c>
      <c r="E1138">
        <v>0</v>
      </c>
      <c r="F1138">
        <v>0</v>
      </c>
      <c r="G1138">
        <v>0</v>
      </c>
      <c r="H1138">
        <v>55</v>
      </c>
      <c r="I1138" s="183" t="s">
        <v>1098</v>
      </c>
      <c r="J1138" s="183" t="s">
        <v>12057</v>
      </c>
      <c r="K1138">
        <v>0</v>
      </c>
      <c r="L1138">
        <v>55</v>
      </c>
    </row>
    <row r="1139" spans="1:12">
      <c r="A1139" s="183" t="s">
        <v>8268</v>
      </c>
      <c r="B1139" s="183" t="s">
        <v>8269</v>
      </c>
      <c r="C1139">
        <v>50234315</v>
      </c>
      <c r="D1139">
        <v>50</v>
      </c>
      <c r="E1139">
        <v>0</v>
      </c>
      <c r="F1139">
        <v>0</v>
      </c>
      <c r="G1139">
        <v>0</v>
      </c>
      <c r="H1139">
        <v>50</v>
      </c>
      <c r="I1139" s="183" t="s">
        <v>1098</v>
      </c>
      <c r="J1139" s="183" t="s">
        <v>12057</v>
      </c>
      <c r="K1139">
        <v>0</v>
      </c>
      <c r="L1139">
        <v>50</v>
      </c>
    </row>
    <row r="1140" spans="1:12">
      <c r="A1140" s="183" t="s">
        <v>8270</v>
      </c>
      <c r="B1140" s="183" t="s">
        <v>8271</v>
      </c>
      <c r="C1140">
        <v>50234417</v>
      </c>
      <c r="D1140">
        <v>49</v>
      </c>
      <c r="E1140">
        <v>0</v>
      </c>
      <c r="F1140">
        <v>0</v>
      </c>
      <c r="G1140">
        <v>0</v>
      </c>
      <c r="H1140">
        <v>49</v>
      </c>
      <c r="I1140" s="183" t="s">
        <v>1098</v>
      </c>
      <c r="J1140" s="183" t="s">
        <v>12059</v>
      </c>
      <c r="K1140">
        <v>0</v>
      </c>
      <c r="L1140">
        <v>49</v>
      </c>
    </row>
    <row r="1141" spans="1:12">
      <c r="A1141" s="183" t="s">
        <v>2902</v>
      </c>
      <c r="B1141" s="183" t="s">
        <v>2903</v>
      </c>
      <c r="C1141">
        <v>50234517</v>
      </c>
      <c r="D1141">
        <v>47</v>
      </c>
      <c r="E1141">
        <v>0</v>
      </c>
      <c r="F1141">
        <v>0</v>
      </c>
      <c r="G1141">
        <v>0</v>
      </c>
      <c r="H1141">
        <v>47</v>
      </c>
      <c r="I1141" s="183" t="s">
        <v>1098</v>
      </c>
      <c r="J1141" s="183" t="s">
        <v>12057</v>
      </c>
      <c r="K1141">
        <v>0</v>
      </c>
      <c r="L1141">
        <v>47</v>
      </c>
    </row>
    <row r="1142" spans="1:12">
      <c r="A1142" s="183" t="s">
        <v>8041</v>
      </c>
      <c r="B1142" s="183" t="s">
        <v>8042</v>
      </c>
      <c r="C1142">
        <v>50236317</v>
      </c>
      <c r="D1142">
        <v>48</v>
      </c>
      <c r="E1142">
        <v>0</v>
      </c>
      <c r="F1142">
        <v>0</v>
      </c>
      <c r="G1142">
        <v>0</v>
      </c>
      <c r="H1142">
        <v>48</v>
      </c>
      <c r="I1142" s="183" t="s">
        <v>1098</v>
      </c>
      <c r="J1142" s="183" t="s">
        <v>12061</v>
      </c>
      <c r="K1142">
        <v>0</v>
      </c>
      <c r="L1142">
        <v>48</v>
      </c>
    </row>
    <row r="1143" spans="1:12">
      <c r="A1143" s="183" t="s">
        <v>2798</v>
      </c>
      <c r="B1143" s="183" t="s">
        <v>2799</v>
      </c>
      <c r="C1143">
        <v>50238415</v>
      </c>
      <c r="D1143">
        <v>49</v>
      </c>
      <c r="E1143">
        <v>0</v>
      </c>
      <c r="F1143">
        <v>0</v>
      </c>
      <c r="G1143">
        <v>0</v>
      </c>
      <c r="H1143">
        <v>49</v>
      </c>
      <c r="I1143" s="183" t="s">
        <v>1098</v>
      </c>
      <c r="J1143" s="183" t="s">
        <v>12058</v>
      </c>
      <c r="K1143">
        <v>0</v>
      </c>
      <c r="L1143">
        <v>49</v>
      </c>
    </row>
    <row r="1144" spans="1:12">
      <c r="A1144" s="183" t="s">
        <v>2921</v>
      </c>
      <c r="B1144" s="183" t="s">
        <v>2922</v>
      </c>
      <c r="C1144">
        <v>50240102</v>
      </c>
      <c r="D1144">
        <v>48</v>
      </c>
      <c r="E1144">
        <v>0</v>
      </c>
      <c r="F1144">
        <v>0</v>
      </c>
      <c r="G1144">
        <v>0</v>
      </c>
      <c r="H1144">
        <v>48</v>
      </c>
      <c r="I1144" s="183" t="s">
        <v>1098</v>
      </c>
      <c r="J1144" s="183" t="s">
        <v>12056</v>
      </c>
      <c r="K1144">
        <v>0</v>
      </c>
      <c r="L1144">
        <v>48</v>
      </c>
    </row>
    <row r="1145" spans="1:12">
      <c r="A1145" s="183" t="s">
        <v>8398</v>
      </c>
      <c r="B1145" s="183" t="s">
        <v>8399</v>
      </c>
      <c r="C1145">
        <v>50240110</v>
      </c>
      <c r="D1145">
        <v>50</v>
      </c>
      <c r="E1145">
        <v>0</v>
      </c>
      <c r="F1145">
        <v>0</v>
      </c>
      <c r="G1145">
        <v>0</v>
      </c>
      <c r="H1145">
        <v>50</v>
      </c>
      <c r="I1145" s="183" t="s">
        <v>1098</v>
      </c>
      <c r="J1145" s="183" t="s">
        <v>12056</v>
      </c>
      <c r="K1145">
        <v>0</v>
      </c>
      <c r="L1145">
        <v>50</v>
      </c>
    </row>
    <row r="1146" spans="1:12">
      <c r="A1146" s="183" t="s">
        <v>2806</v>
      </c>
      <c r="B1146" s="183" t="s">
        <v>2807</v>
      </c>
      <c r="C1146">
        <v>50240202</v>
      </c>
      <c r="D1146">
        <v>96</v>
      </c>
      <c r="E1146">
        <v>0</v>
      </c>
      <c r="F1146">
        <v>0</v>
      </c>
      <c r="G1146">
        <v>0</v>
      </c>
      <c r="H1146">
        <v>96</v>
      </c>
      <c r="I1146" s="183" t="s">
        <v>1098</v>
      </c>
      <c r="J1146" s="183" t="s">
        <v>12059</v>
      </c>
      <c r="K1146">
        <v>0</v>
      </c>
      <c r="L1146">
        <v>96</v>
      </c>
    </row>
    <row r="1147" spans="1:12">
      <c r="A1147" s="183" t="s">
        <v>2858</v>
      </c>
      <c r="B1147" s="183" t="s">
        <v>2859</v>
      </c>
      <c r="C1147">
        <v>50240216</v>
      </c>
      <c r="D1147">
        <v>50</v>
      </c>
      <c r="E1147">
        <v>0</v>
      </c>
      <c r="F1147">
        <v>0</v>
      </c>
      <c r="G1147">
        <v>0</v>
      </c>
      <c r="H1147">
        <v>50</v>
      </c>
      <c r="I1147" s="183" t="s">
        <v>1098</v>
      </c>
      <c r="J1147" s="183" t="s">
        <v>12053</v>
      </c>
      <c r="K1147">
        <v>0</v>
      </c>
      <c r="L1147">
        <v>50</v>
      </c>
    </row>
    <row r="1148" spans="1:12">
      <c r="A1148" s="183" t="s">
        <v>11861</v>
      </c>
      <c r="B1148" s="183" t="s">
        <v>11862</v>
      </c>
      <c r="C1148">
        <v>50240516</v>
      </c>
      <c r="D1148">
        <v>30</v>
      </c>
      <c r="E1148">
        <v>0</v>
      </c>
      <c r="F1148">
        <v>0</v>
      </c>
      <c r="G1148">
        <v>0</v>
      </c>
      <c r="H1148">
        <v>30</v>
      </c>
      <c r="I1148" s="183" t="s">
        <v>1098</v>
      </c>
      <c r="J1148" s="183" t="s">
        <v>12060</v>
      </c>
      <c r="K1148">
        <v>0</v>
      </c>
      <c r="L1148">
        <v>30</v>
      </c>
    </row>
    <row r="1149" spans="1:12">
      <c r="A1149" s="183" t="s">
        <v>6423</v>
      </c>
      <c r="B1149" s="183" t="s">
        <v>6424</v>
      </c>
      <c r="C1149">
        <v>37178214</v>
      </c>
      <c r="D1149" s="501">
        <v>1229</v>
      </c>
      <c r="E1149">
        <v>0</v>
      </c>
      <c r="F1149">
        <v>0</v>
      </c>
      <c r="G1149">
        <v>0</v>
      </c>
      <c r="H1149" s="501">
        <v>1229</v>
      </c>
      <c r="I1149" s="183" t="s">
        <v>1016</v>
      </c>
      <c r="J1149" s="183" t="s">
        <v>12055</v>
      </c>
      <c r="K1149">
        <v>0</v>
      </c>
      <c r="L1149" s="501">
        <v>1229</v>
      </c>
    </row>
    <row r="1150" spans="1:12">
      <c r="A1150" s="183" t="s">
        <v>6429</v>
      </c>
      <c r="B1150" s="183" t="s">
        <v>6430</v>
      </c>
      <c r="C1150">
        <v>37178220</v>
      </c>
      <c r="D1150">
        <v>924</v>
      </c>
      <c r="E1150">
        <v>0</v>
      </c>
      <c r="F1150">
        <v>2</v>
      </c>
      <c r="G1150">
        <v>0</v>
      </c>
      <c r="H1150">
        <v>926</v>
      </c>
      <c r="I1150" s="183" t="s">
        <v>1016</v>
      </c>
      <c r="J1150" s="183" t="s">
        <v>12054</v>
      </c>
      <c r="K1150">
        <v>0</v>
      </c>
      <c r="L1150">
        <v>924</v>
      </c>
    </row>
    <row r="1151" spans="1:12">
      <c r="A1151" s="183" t="s">
        <v>6199</v>
      </c>
      <c r="B1151" s="183" t="s">
        <v>6200</v>
      </c>
      <c r="C1151">
        <v>37178232</v>
      </c>
      <c r="D1151">
        <v>287</v>
      </c>
      <c r="E1151">
        <v>0</v>
      </c>
      <c r="F1151">
        <v>0</v>
      </c>
      <c r="G1151">
        <v>0</v>
      </c>
      <c r="H1151">
        <v>287</v>
      </c>
      <c r="I1151" s="183" t="s">
        <v>1016</v>
      </c>
      <c r="J1151" s="183" t="s">
        <v>12054</v>
      </c>
      <c r="K1151">
        <v>0</v>
      </c>
      <c r="L1151">
        <v>287</v>
      </c>
    </row>
    <row r="1152" spans="1:12">
      <c r="A1152" s="183" t="s">
        <v>692</v>
      </c>
      <c r="B1152" s="183" t="s">
        <v>686</v>
      </c>
      <c r="C1152">
        <v>37178240</v>
      </c>
      <c r="D1152">
        <v>267</v>
      </c>
      <c r="E1152">
        <v>0</v>
      </c>
      <c r="F1152">
        <v>3</v>
      </c>
      <c r="G1152">
        <v>0</v>
      </c>
      <c r="H1152">
        <v>270</v>
      </c>
      <c r="I1152" s="183" t="s">
        <v>1016</v>
      </c>
      <c r="J1152" s="183" t="s">
        <v>12092</v>
      </c>
      <c r="K1152">
        <v>0</v>
      </c>
      <c r="L1152">
        <v>267</v>
      </c>
    </row>
    <row r="1153" spans="1:12">
      <c r="A1153" s="183" t="s">
        <v>3994</v>
      </c>
      <c r="B1153" s="183" t="s">
        <v>3978</v>
      </c>
      <c r="C1153">
        <v>8800268998284</v>
      </c>
      <c r="D1153">
        <v>6</v>
      </c>
      <c r="E1153">
        <v>0</v>
      </c>
      <c r="F1153">
        <v>0</v>
      </c>
      <c r="G1153">
        <v>0</v>
      </c>
      <c r="H1153">
        <v>6</v>
      </c>
      <c r="I1153" s="183" t="s">
        <v>3979</v>
      </c>
      <c r="J1153" s="183" t="s">
        <v>12063</v>
      </c>
      <c r="K1153">
        <v>0</v>
      </c>
      <c r="L1153">
        <v>6</v>
      </c>
    </row>
    <row r="1154" spans="1:12">
      <c r="A1154" s="183" t="s">
        <v>4255</v>
      </c>
      <c r="B1154" s="183" t="s">
        <v>3978</v>
      </c>
      <c r="C1154">
        <v>8800268998369</v>
      </c>
      <c r="D1154">
        <v>57</v>
      </c>
      <c r="E1154">
        <v>0</v>
      </c>
      <c r="F1154">
        <v>0</v>
      </c>
      <c r="G1154">
        <v>0</v>
      </c>
      <c r="H1154">
        <v>57</v>
      </c>
      <c r="I1154" s="183" t="s">
        <v>3979</v>
      </c>
      <c r="J1154" s="183" t="s">
        <v>12093</v>
      </c>
      <c r="K1154">
        <v>0</v>
      </c>
      <c r="L1154">
        <v>57</v>
      </c>
    </row>
    <row r="1155" spans="1:12">
      <c r="A1155" s="183" t="s">
        <v>4084</v>
      </c>
      <c r="B1155" s="183" t="s">
        <v>3978</v>
      </c>
      <c r="C1155">
        <v>8800268998574</v>
      </c>
      <c r="D1155">
        <v>30</v>
      </c>
      <c r="E1155">
        <v>0</v>
      </c>
      <c r="F1155">
        <v>0</v>
      </c>
      <c r="G1155">
        <v>0</v>
      </c>
      <c r="H1155">
        <v>30</v>
      </c>
      <c r="I1155" s="183" t="s">
        <v>3979</v>
      </c>
      <c r="J1155" s="183" t="s">
        <v>12091</v>
      </c>
      <c r="K1155">
        <v>0</v>
      </c>
      <c r="L1155">
        <v>30</v>
      </c>
    </row>
    <row r="1156" spans="1:12">
      <c r="A1156" s="183" t="s">
        <v>4465</v>
      </c>
      <c r="B1156" s="183" t="s">
        <v>3978</v>
      </c>
      <c r="C1156">
        <v>8800268998703</v>
      </c>
      <c r="D1156">
        <v>66</v>
      </c>
      <c r="E1156">
        <v>0</v>
      </c>
      <c r="F1156">
        <v>0</v>
      </c>
      <c r="G1156">
        <v>0</v>
      </c>
      <c r="H1156">
        <v>66</v>
      </c>
      <c r="I1156" s="183" t="s">
        <v>3979</v>
      </c>
      <c r="J1156" s="183" t="s">
        <v>12087</v>
      </c>
      <c r="K1156">
        <v>0</v>
      </c>
      <c r="L1156">
        <v>66</v>
      </c>
    </row>
    <row r="1157" spans="1:12">
      <c r="A1157" s="183" t="s">
        <v>4480</v>
      </c>
      <c r="B1157" s="183" t="s">
        <v>3978</v>
      </c>
      <c r="C1157">
        <v>8800268998857</v>
      </c>
      <c r="D1157">
        <v>24</v>
      </c>
      <c r="E1157">
        <v>0</v>
      </c>
      <c r="F1157">
        <v>0</v>
      </c>
      <c r="G1157">
        <v>0</v>
      </c>
      <c r="H1157">
        <v>24</v>
      </c>
      <c r="I1157" s="183" t="s">
        <v>3979</v>
      </c>
      <c r="J1157" s="183" t="s">
        <v>12067</v>
      </c>
      <c r="K1157">
        <v>0</v>
      </c>
      <c r="L1157">
        <v>24</v>
      </c>
    </row>
    <row r="1158" spans="1:12">
      <c r="A1158" s="183" t="s">
        <v>4151</v>
      </c>
      <c r="B1158" s="183" t="s">
        <v>3978</v>
      </c>
      <c r="C1158">
        <v>8800268998864</v>
      </c>
      <c r="D1158">
        <v>88</v>
      </c>
      <c r="E1158">
        <v>0</v>
      </c>
      <c r="F1158">
        <v>0</v>
      </c>
      <c r="G1158">
        <v>0</v>
      </c>
      <c r="H1158">
        <v>88</v>
      </c>
      <c r="I1158" s="183" t="s">
        <v>3979</v>
      </c>
      <c r="J1158" s="183" t="s">
        <v>12091</v>
      </c>
      <c r="K1158">
        <v>0</v>
      </c>
      <c r="L1158">
        <v>88</v>
      </c>
    </row>
    <row r="1159" spans="1:12">
      <c r="A1159" s="183" t="s">
        <v>4232</v>
      </c>
      <c r="B1159" s="183" t="s">
        <v>3978</v>
      </c>
      <c r="C1159">
        <v>8800268999069</v>
      </c>
      <c r="D1159">
        <v>209</v>
      </c>
      <c r="E1159">
        <v>0</v>
      </c>
      <c r="F1159">
        <v>0</v>
      </c>
      <c r="G1159">
        <v>0</v>
      </c>
      <c r="H1159">
        <v>209</v>
      </c>
      <c r="I1159" s="183" t="s">
        <v>3979</v>
      </c>
      <c r="J1159" s="183" t="s">
        <v>12063</v>
      </c>
      <c r="K1159">
        <v>0</v>
      </c>
      <c r="L1159">
        <v>209</v>
      </c>
    </row>
    <row r="1160" spans="1:12">
      <c r="A1160" s="183" t="s">
        <v>4141</v>
      </c>
      <c r="B1160" s="183" t="s">
        <v>3978</v>
      </c>
      <c r="C1160">
        <v>8800268999151</v>
      </c>
      <c r="D1160">
        <v>96</v>
      </c>
      <c r="E1160">
        <v>0</v>
      </c>
      <c r="F1160">
        <v>0</v>
      </c>
      <c r="G1160">
        <v>0</v>
      </c>
      <c r="H1160">
        <v>96</v>
      </c>
      <c r="I1160" s="183" t="s">
        <v>3979</v>
      </c>
      <c r="J1160" s="183" t="s">
        <v>12063</v>
      </c>
      <c r="K1160">
        <v>0</v>
      </c>
      <c r="L1160">
        <v>96</v>
      </c>
    </row>
    <row r="1161" spans="1:12">
      <c r="A1161" s="183" t="s">
        <v>2115</v>
      </c>
      <c r="B1161" s="183" t="s">
        <v>2116</v>
      </c>
      <c r="C1161">
        <v>50218215</v>
      </c>
      <c r="D1161">
        <v>94</v>
      </c>
      <c r="E1161">
        <v>0</v>
      </c>
      <c r="F1161">
        <v>0</v>
      </c>
      <c r="G1161">
        <v>0</v>
      </c>
      <c r="H1161">
        <v>94</v>
      </c>
      <c r="I1161" s="183" t="s">
        <v>1098</v>
      </c>
      <c r="J1161" s="183" t="s">
        <v>12061</v>
      </c>
      <c r="K1161">
        <v>0</v>
      </c>
      <c r="L1161">
        <v>94</v>
      </c>
    </row>
    <row r="1162" spans="1:12">
      <c r="A1162" s="183" t="s">
        <v>8322</v>
      </c>
      <c r="B1162" s="183" t="s">
        <v>8323</v>
      </c>
      <c r="C1162">
        <v>50218315</v>
      </c>
      <c r="D1162">
        <v>48</v>
      </c>
      <c r="E1162">
        <v>0</v>
      </c>
      <c r="F1162">
        <v>0</v>
      </c>
      <c r="G1162">
        <v>0</v>
      </c>
      <c r="H1162">
        <v>48</v>
      </c>
      <c r="I1162" s="183" t="s">
        <v>1098</v>
      </c>
      <c r="J1162" s="183" t="s">
        <v>12052</v>
      </c>
      <c r="K1162">
        <v>0</v>
      </c>
      <c r="L1162">
        <v>48</v>
      </c>
    </row>
    <row r="1163" spans="1:12">
      <c r="A1163" s="183" t="s">
        <v>8061</v>
      </c>
      <c r="B1163" s="183" t="s">
        <v>8062</v>
      </c>
      <c r="C1163">
        <v>50219117</v>
      </c>
      <c r="D1163">
        <v>46</v>
      </c>
      <c r="E1163">
        <v>0</v>
      </c>
      <c r="F1163">
        <v>0</v>
      </c>
      <c r="G1163">
        <v>0</v>
      </c>
      <c r="H1163">
        <v>46</v>
      </c>
      <c r="I1163" s="183" t="s">
        <v>1098</v>
      </c>
      <c r="J1163" s="183" t="s">
        <v>12050</v>
      </c>
      <c r="K1163">
        <v>0</v>
      </c>
      <c r="L1163">
        <v>46</v>
      </c>
    </row>
    <row r="1164" spans="1:12">
      <c r="A1164" s="183" t="s">
        <v>1432</v>
      </c>
      <c r="B1164" s="183" t="s">
        <v>1433</v>
      </c>
      <c r="C1164">
        <v>50219216</v>
      </c>
      <c r="D1164">
        <v>26</v>
      </c>
      <c r="E1164">
        <v>0</v>
      </c>
      <c r="F1164">
        <v>0</v>
      </c>
      <c r="G1164">
        <v>0</v>
      </c>
      <c r="H1164">
        <v>26</v>
      </c>
      <c r="I1164" s="183" t="s">
        <v>1098</v>
      </c>
      <c r="J1164" s="183" t="s">
        <v>12054</v>
      </c>
      <c r="K1164">
        <v>0</v>
      </c>
      <c r="L1164">
        <v>26</v>
      </c>
    </row>
    <row r="1165" spans="1:12">
      <c r="A1165" s="183" t="s">
        <v>8005</v>
      </c>
      <c r="B1165" s="183" t="s">
        <v>8006</v>
      </c>
      <c r="C1165">
        <v>50219317</v>
      </c>
      <c r="D1165">
        <v>49</v>
      </c>
      <c r="E1165">
        <v>0</v>
      </c>
      <c r="F1165">
        <v>0</v>
      </c>
      <c r="G1165">
        <v>0</v>
      </c>
      <c r="H1165">
        <v>49</v>
      </c>
      <c r="I1165" s="183" t="s">
        <v>1098</v>
      </c>
      <c r="J1165" s="183" t="s">
        <v>12061</v>
      </c>
      <c r="K1165">
        <v>0</v>
      </c>
      <c r="L1165">
        <v>49</v>
      </c>
    </row>
    <row r="1166" spans="1:12">
      <c r="A1166" s="183" t="s">
        <v>2651</v>
      </c>
      <c r="B1166" s="183" t="s">
        <v>2652</v>
      </c>
      <c r="C1166">
        <v>50219503</v>
      </c>
      <c r="D1166">
        <v>50</v>
      </c>
      <c r="E1166">
        <v>0</v>
      </c>
      <c r="F1166">
        <v>0</v>
      </c>
      <c r="G1166">
        <v>0</v>
      </c>
      <c r="H1166">
        <v>50</v>
      </c>
      <c r="I1166" s="183" t="s">
        <v>1098</v>
      </c>
      <c r="J1166" s="183" t="s">
        <v>12061</v>
      </c>
      <c r="K1166">
        <v>0</v>
      </c>
      <c r="L1166">
        <v>50</v>
      </c>
    </row>
    <row r="1167" spans="1:12">
      <c r="A1167" s="183" t="s">
        <v>1948</v>
      </c>
      <c r="B1167" s="183" t="s">
        <v>1949</v>
      </c>
      <c r="C1167">
        <v>50220103</v>
      </c>
      <c r="D1167">
        <v>43</v>
      </c>
      <c r="E1167">
        <v>0</v>
      </c>
      <c r="F1167">
        <v>0</v>
      </c>
      <c r="G1167">
        <v>0</v>
      </c>
      <c r="H1167">
        <v>43</v>
      </c>
      <c r="I1167" s="183" t="s">
        <v>1098</v>
      </c>
      <c r="J1167" s="183" t="s">
        <v>12050</v>
      </c>
      <c r="K1167">
        <v>0</v>
      </c>
      <c r="L1167">
        <v>43</v>
      </c>
    </row>
    <row r="1168" spans="1:12">
      <c r="A1168" s="183" t="s">
        <v>1961</v>
      </c>
      <c r="B1168" s="183" t="s">
        <v>1962</v>
      </c>
      <c r="C1168">
        <v>50220117</v>
      </c>
      <c r="D1168">
        <v>40</v>
      </c>
      <c r="E1168">
        <v>0</v>
      </c>
      <c r="F1168">
        <v>0</v>
      </c>
      <c r="G1168">
        <v>0</v>
      </c>
      <c r="H1168">
        <v>40</v>
      </c>
      <c r="I1168" s="183" t="s">
        <v>1098</v>
      </c>
      <c r="J1168" s="183" t="s">
        <v>12060</v>
      </c>
      <c r="K1168">
        <v>0</v>
      </c>
      <c r="L1168">
        <v>40</v>
      </c>
    </row>
    <row r="1169" spans="1:12">
      <c r="A1169" s="183" t="s">
        <v>1781</v>
      </c>
      <c r="B1169" s="183" t="s">
        <v>1782</v>
      </c>
      <c r="C1169">
        <v>50220215</v>
      </c>
      <c r="D1169">
        <v>42</v>
      </c>
      <c r="E1169">
        <v>0</v>
      </c>
      <c r="F1169">
        <v>0</v>
      </c>
      <c r="G1169">
        <v>0</v>
      </c>
      <c r="H1169">
        <v>42</v>
      </c>
      <c r="I1169" s="183" t="s">
        <v>1098</v>
      </c>
      <c r="J1169" s="183" t="s">
        <v>12058</v>
      </c>
      <c r="K1169">
        <v>0</v>
      </c>
      <c r="L1169">
        <v>42</v>
      </c>
    </row>
    <row r="1170" spans="1:12">
      <c r="A1170" s="183" t="s">
        <v>8188</v>
      </c>
      <c r="B1170" s="183" t="s">
        <v>8189</v>
      </c>
      <c r="C1170">
        <v>50220517</v>
      </c>
      <c r="D1170">
        <v>42</v>
      </c>
      <c r="E1170">
        <v>0</v>
      </c>
      <c r="F1170">
        <v>0</v>
      </c>
      <c r="G1170">
        <v>0</v>
      </c>
      <c r="H1170">
        <v>42</v>
      </c>
      <c r="I1170" s="183" t="s">
        <v>1098</v>
      </c>
      <c r="J1170" s="183" t="s">
        <v>12060</v>
      </c>
      <c r="K1170">
        <v>0</v>
      </c>
      <c r="L1170">
        <v>42</v>
      </c>
    </row>
    <row r="1171" spans="1:12">
      <c r="A1171" s="183" t="s">
        <v>1417</v>
      </c>
      <c r="B1171" s="183" t="s">
        <v>1418</v>
      </c>
      <c r="C1171">
        <v>50221115</v>
      </c>
      <c r="D1171">
        <v>64</v>
      </c>
      <c r="E1171">
        <v>0</v>
      </c>
      <c r="F1171">
        <v>0</v>
      </c>
      <c r="G1171">
        <v>0</v>
      </c>
      <c r="H1171">
        <v>64</v>
      </c>
      <c r="I1171" s="183" t="s">
        <v>1098</v>
      </c>
      <c r="J1171" s="183" t="s">
        <v>12059</v>
      </c>
      <c r="K1171">
        <v>0</v>
      </c>
      <c r="L1171">
        <v>64</v>
      </c>
    </row>
    <row r="1172" spans="1:12">
      <c r="A1172" s="183" t="s">
        <v>8286</v>
      </c>
      <c r="B1172" s="183" t="s">
        <v>8287</v>
      </c>
      <c r="C1172">
        <v>50221215</v>
      </c>
      <c r="D1172">
        <v>50</v>
      </c>
      <c r="E1172">
        <v>0</v>
      </c>
      <c r="F1172">
        <v>0</v>
      </c>
      <c r="G1172">
        <v>0</v>
      </c>
      <c r="H1172">
        <v>50</v>
      </c>
      <c r="I1172" s="183" t="s">
        <v>1098</v>
      </c>
      <c r="J1172" s="183" t="s">
        <v>12055</v>
      </c>
      <c r="K1172">
        <v>0</v>
      </c>
      <c r="L1172">
        <v>50</v>
      </c>
    </row>
    <row r="1173" spans="1:12">
      <c r="A1173" s="183" t="s">
        <v>8388</v>
      </c>
      <c r="B1173" s="183" t="s">
        <v>8389</v>
      </c>
      <c r="C1173">
        <v>50222110</v>
      </c>
      <c r="D1173">
        <v>49</v>
      </c>
      <c r="E1173">
        <v>0</v>
      </c>
      <c r="F1173">
        <v>0</v>
      </c>
      <c r="G1173">
        <v>0</v>
      </c>
      <c r="H1173">
        <v>49</v>
      </c>
      <c r="I1173" s="183" t="s">
        <v>1098</v>
      </c>
      <c r="J1173" s="183" t="s">
        <v>12056</v>
      </c>
      <c r="K1173">
        <v>0</v>
      </c>
      <c r="L1173">
        <v>49</v>
      </c>
    </row>
    <row r="1174" spans="1:12">
      <c r="A1174" s="183" t="s">
        <v>7022</v>
      </c>
      <c r="B1174" s="183" t="s">
        <v>7023</v>
      </c>
      <c r="C1174">
        <v>50222210</v>
      </c>
      <c r="D1174">
        <v>48</v>
      </c>
      <c r="E1174">
        <v>0</v>
      </c>
      <c r="F1174">
        <v>0</v>
      </c>
      <c r="G1174">
        <v>0</v>
      </c>
      <c r="H1174">
        <v>48</v>
      </c>
      <c r="I1174" s="183" t="s">
        <v>1098</v>
      </c>
      <c r="J1174" s="183" t="s">
        <v>12054</v>
      </c>
      <c r="K1174">
        <v>0</v>
      </c>
      <c r="L1174">
        <v>48</v>
      </c>
    </row>
    <row r="1175" spans="1:12">
      <c r="A1175" s="183" t="s">
        <v>1414</v>
      </c>
      <c r="B1175" s="183" t="s">
        <v>1415</v>
      </c>
      <c r="C1175">
        <v>50223117</v>
      </c>
      <c r="D1175">
        <v>39</v>
      </c>
      <c r="E1175">
        <v>0</v>
      </c>
      <c r="F1175">
        <v>0</v>
      </c>
      <c r="G1175">
        <v>0</v>
      </c>
      <c r="H1175">
        <v>39</v>
      </c>
      <c r="I1175" s="183" t="s">
        <v>1098</v>
      </c>
      <c r="J1175" s="183" t="s">
        <v>12052</v>
      </c>
      <c r="K1175">
        <v>0</v>
      </c>
      <c r="L1175">
        <v>39</v>
      </c>
    </row>
    <row r="1176" spans="1:12">
      <c r="A1176" s="183" t="s">
        <v>8386</v>
      </c>
      <c r="B1176" s="183" t="s">
        <v>8387</v>
      </c>
      <c r="C1176">
        <v>50223201</v>
      </c>
      <c r="D1176">
        <v>49</v>
      </c>
      <c r="E1176">
        <v>0</v>
      </c>
      <c r="F1176">
        <v>0</v>
      </c>
      <c r="G1176">
        <v>0</v>
      </c>
      <c r="H1176">
        <v>49</v>
      </c>
      <c r="I1176" s="183" t="s">
        <v>1098</v>
      </c>
      <c r="J1176" s="183" t="s">
        <v>12060</v>
      </c>
      <c r="K1176">
        <v>0</v>
      </c>
      <c r="L1176">
        <v>49</v>
      </c>
    </row>
    <row r="1177" spans="1:12">
      <c r="A1177" s="183" t="s">
        <v>8390</v>
      </c>
      <c r="B1177" s="183" t="s">
        <v>8391</v>
      </c>
      <c r="C1177">
        <v>50223316</v>
      </c>
      <c r="D1177">
        <v>24</v>
      </c>
      <c r="E1177">
        <v>0</v>
      </c>
      <c r="F1177">
        <v>0</v>
      </c>
      <c r="G1177">
        <v>0</v>
      </c>
      <c r="H1177">
        <v>24</v>
      </c>
      <c r="I1177" s="183" t="s">
        <v>1098</v>
      </c>
      <c r="J1177" s="183" t="s">
        <v>12061</v>
      </c>
      <c r="K1177">
        <v>0</v>
      </c>
      <c r="L1177">
        <v>24</v>
      </c>
    </row>
    <row r="1178" spans="1:12">
      <c r="A1178" s="183" t="s">
        <v>8352</v>
      </c>
      <c r="B1178" s="183" t="s">
        <v>8353</v>
      </c>
      <c r="C1178">
        <v>50223417</v>
      </c>
      <c r="D1178">
        <v>24</v>
      </c>
      <c r="E1178">
        <v>0</v>
      </c>
      <c r="F1178">
        <v>0</v>
      </c>
      <c r="G1178">
        <v>0</v>
      </c>
      <c r="H1178">
        <v>24</v>
      </c>
      <c r="I1178" s="183" t="s">
        <v>1098</v>
      </c>
      <c r="J1178" s="183" t="s">
        <v>12061</v>
      </c>
      <c r="K1178">
        <v>0</v>
      </c>
      <c r="L1178">
        <v>24</v>
      </c>
    </row>
    <row r="1179" spans="1:12">
      <c r="A1179" s="183" t="s">
        <v>7153</v>
      </c>
      <c r="B1179" s="183" t="s">
        <v>7154</v>
      </c>
      <c r="C1179">
        <v>50223508</v>
      </c>
      <c r="D1179">
        <v>17</v>
      </c>
      <c r="E1179">
        <v>0</v>
      </c>
      <c r="F1179">
        <v>0</v>
      </c>
      <c r="G1179">
        <v>0</v>
      </c>
      <c r="H1179">
        <v>17</v>
      </c>
      <c r="I1179" s="183" t="s">
        <v>1098</v>
      </c>
      <c r="J1179" s="183" t="s">
        <v>12063</v>
      </c>
      <c r="K1179">
        <v>0</v>
      </c>
      <c r="L1179">
        <v>17</v>
      </c>
    </row>
    <row r="1180" spans="1:12">
      <c r="A1180" s="183" t="s">
        <v>2396</v>
      </c>
      <c r="B1180" s="183" t="s">
        <v>2397</v>
      </c>
      <c r="C1180">
        <v>50224110</v>
      </c>
      <c r="D1180">
        <v>45</v>
      </c>
      <c r="E1180">
        <v>0</v>
      </c>
      <c r="F1180">
        <v>0</v>
      </c>
      <c r="G1180">
        <v>0</v>
      </c>
      <c r="H1180">
        <v>45</v>
      </c>
      <c r="I1180" s="183" t="s">
        <v>1098</v>
      </c>
      <c r="J1180" s="183" t="s">
        <v>12056</v>
      </c>
      <c r="K1180">
        <v>0</v>
      </c>
      <c r="L1180">
        <v>45</v>
      </c>
    </row>
    <row r="1181" spans="1:12">
      <c r="A1181" s="183" t="s">
        <v>1783</v>
      </c>
      <c r="B1181" s="183" t="s">
        <v>1784</v>
      </c>
      <c r="C1181">
        <v>50224217</v>
      </c>
      <c r="D1181">
        <v>45</v>
      </c>
      <c r="E1181">
        <v>0</v>
      </c>
      <c r="F1181">
        <v>0</v>
      </c>
      <c r="G1181">
        <v>0</v>
      </c>
      <c r="H1181">
        <v>45</v>
      </c>
      <c r="I1181" s="183" t="s">
        <v>1098</v>
      </c>
      <c r="J1181" s="183" t="s">
        <v>12054</v>
      </c>
      <c r="K1181">
        <v>0</v>
      </c>
      <c r="L1181">
        <v>45</v>
      </c>
    </row>
    <row r="1182" spans="1:12">
      <c r="A1182" s="183" t="s">
        <v>1424</v>
      </c>
      <c r="B1182" s="183" t="s">
        <v>1425</v>
      </c>
      <c r="C1182">
        <v>50224310</v>
      </c>
      <c r="D1182">
        <v>49</v>
      </c>
      <c r="E1182">
        <v>0</v>
      </c>
      <c r="F1182">
        <v>0</v>
      </c>
      <c r="G1182">
        <v>0</v>
      </c>
      <c r="H1182">
        <v>49</v>
      </c>
      <c r="I1182" s="183" t="s">
        <v>1098</v>
      </c>
      <c r="J1182" s="183" t="s">
        <v>12059</v>
      </c>
      <c r="K1182">
        <v>0</v>
      </c>
      <c r="L1182">
        <v>49</v>
      </c>
    </row>
    <row r="1183" spans="1:12">
      <c r="A1183" s="183" t="s">
        <v>1306</v>
      </c>
      <c r="B1183" s="183" t="s">
        <v>1307</v>
      </c>
      <c r="C1183">
        <v>50224317</v>
      </c>
      <c r="D1183">
        <v>29</v>
      </c>
      <c r="E1183">
        <v>0</v>
      </c>
      <c r="F1183">
        <v>0</v>
      </c>
      <c r="G1183">
        <v>0</v>
      </c>
      <c r="H1183">
        <v>29</v>
      </c>
      <c r="I1183" s="183" t="s">
        <v>1098</v>
      </c>
      <c r="J1183" s="183" t="s">
        <v>12054</v>
      </c>
      <c r="K1183">
        <v>0</v>
      </c>
      <c r="L1183">
        <v>29</v>
      </c>
    </row>
    <row r="1184" spans="1:12">
      <c r="A1184" s="183" t="s">
        <v>8190</v>
      </c>
      <c r="B1184" s="183" t="s">
        <v>8191</v>
      </c>
      <c r="C1184">
        <v>50226310</v>
      </c>
      <c r="D1184">
        <v>50</v>
      </c>
      <c r="E1184">
        <v>0</v>
      </c>
      <c r="F1184">
        <v>0</v>
      </c>
      <c r="G1184">
        <v>0</v>
      </c>
      <c r="H1184">
        <v>50</v>
      </c>
      <c r="I1184" s="183" t="s">
        <v>1098</v>
      </c>
      <c r="J1184" s="183" t="s">
        <v>12052</v>
      </c>
      <c r="K1184">
        <v>0</v>
      </c>
      <c r="L1184">
        <v>50</v>
      </c>
    </row>
    <row r="1185" spans="1:12">
      <c r="A1185" s="183" t="s">
        <v>3004</v>
      </c>
      <c r="B1185" s="183" t="s">
        <v>3005</v>
      </c>
      <c r="C1185">
        <v>50226317</v>
      </c>
      <c r="D1185">
        <v>31</v>
      </c>
      <c r="E1185">
        <v>0</v>
      </c>
      <c r="F1185">
        <v>0</v>
      </c>
      <c r="G1185">
        <v>0</v>
      </c>
      <c r="H1185">
        <v>31</v>
      </c>
      <c r="I1185" s="183" t="s">
        <v>1098</v>
      </c>
      <c r="J1185" s="183" t="s">
        <v>12050</v>
      </c>
      <c r="K1185">
        <v>0</v>
      </c>
      <c r="L1185">
        <v>31</v>
      </c>
    </row>
    <row r="1186" spans="1:12">
      <c r="A1186" s="183" t="s">
        <v>2097</v>
      </c>
      <c r="B1186" s="183" t="s">
        <v>2098</v>
      </c>
      <c r="C1186">
        <v>50226503</v>
      </c>
      <c r="D1186">
        <v>31</v>
      </c>
      <c r="E1186">
        <v>0</v>
      </c>
      <c r="F1186">
        <v>0</v>
      </c>
      <c r="G1186">
        <v>0</v>
      </c>
      <c r="H1186">
        <v>31</v>
      </c>
      <c r="I1186" s="183" t="s">
        <v>1098</v>
      </c>
      <c r="J1186" s="183" t="s">
        <v>12057</v>
      </c>
      <c r="K1186">
        <v>0</v>
      </c>
      <c r="L1186">
        <v>31</v>
      </c>
    </row>
    <row r="1187" spans="1:12">
      <c r="A1187" s="183" t="s">
        <v>6978</v>
      </c>
      <c r="B1187" s="183" t="s">
        <v>6979</v>
      </c>
      <c r="C1187">
        <v>50228101</v>
      </c>
      <c r="D1187">
        <v>10</v>
      </c>
      <c r="E1187">
        <v>0</v>
      </c>
      <c r="F1187">
        <v>0</v>
      </c>
      <c r="G1187">
        <v>0</v>
      </c>
      <c r="H1187">
        <v>10</v>
      </c>
      <c r="I1187" s="183" t="s">
        <v>1098</v>
      </c>
      <c r="J1187" s="183" t="s">
        <v>12060</v>
      </c>
      <c r="K1187">
        <v>0</v>
      </c>
      <c r="L1187">
        <v>10</v>
      </c>
    </row>
    <row r="1188" spans="1:12">
      <c r="A1188" s="183" t="s">
        <v>2408</v>
      </c>
      <c r="B1188" s="183" t="s">
        <v>2409</v>
      </c>
      <c r="C1188">
        <v>50228103</v>
      </c>
      <c r="D1188">
        <v>49</v>
      </c>
      <c r="E1188">
        <v>0</v>
      </c>
      <c r="F1188">
        <v>0</v>
      </c>
      <c r="G1188">
        <v>0</v>
      </c>
      <c r="H1188">
        <v>49</v>
      </c>
      <c r="I1188" s="183" t="s">
        <v>1098</v>
      </c>
      <c r="J1188" s="183" t="s">
        <v>12054</v>
      </c>
      <c r="K1188">
        <v>0</v>
      </c>
      <c r="L1188">
        <v>49</v>
      </c>
    </row>
    <row r="1189" spans="1:12">
      <c r="A1189" s="183" t="s">
        <v>1611</v>
      </c>
      <c r="B1189" s="183" t="s">
        <v>1612</v>
      </c>
      <c r="C1189">
        <v>50228115</v>
      </c>
      <c r="D1189">
        <v>39</v>
      </c>
      <c r="E1189">
        <v>0</v>
      </c>
      <c r="F1189">
        <v>0</v>
      </c>
      <c r="G1189">
        <v>0</v>
      </c>
      <c r="H1189">
        <v>39</v>
      </c>
      <c r="I1189" s="183" t="s">
        <v>1098</v>
      </c>
      <c r="J1189" s="183" t="s">
        <v>12055</v>
      </c>
      <c r="K1189">
        <v>0</v>
      </c>
      <c r="L1189">
        <v>39</v>
      </c>
    </row>
    <row r="1190" spans="1:12">
      <c r="A1190" s="183" t="s">
        <v>2426</v>
      </c>
      <c r="B1190" s="183" t="s">
        <v>2427</v>
      </c>
      <c r="C1190">
        <v>50228401</v>
      </c>
      <c r="D1190">
        <v>96</v>
      </c>
      <c r="E1190">
        <v>0</v>
      </c>
      <c r="F1190">
        <v>0</v>
      </c>
      <c r="G1190">
        <v>0</v>
      </c>
      <c r="H1190">
        <v>96</v>
      </c>
      <c r="I1190" s="183" t="s">
        <v>1098</v>
      </c>
      <c r="J1190" s="183" t="s">
        <v>12053</v>
      </c>
      <c r="K1190">
        <v>0</v>
      </c>
      <c r="L1190">
        <v>96</v>
      </c>
    </row>
    <row r="1191" spans="1:12">
      <c r="A1191" s="183" t="s">
        <v>2418</v>
      </c>
      <c r="B1191" s="183" t="s">
        <v>2419</v>
      </c>
      <c r="C1191">
        <v>50230215</v>
      </c>
      <c r="D1191">
        <v>97</v>
      </c>
      <c r="E1191">
        <v>0</v>
      </c>
      <c r="F1191">
        <v>0</v>
      </c>
      <c r="G1191">
        <v>0</v>
      </c>
      <c r="H1191">
        <v>97</v>
      </c>
      <c r="I1191" s="183" t="s">
        <v>1098</v>
      </c>
      <c r="J1191" s="183" t="s">
        <v>12066</v>
      </c>
      <c r="K1191">
        <v>0</v>
      </c>
      <c r="L1191">
        <v>97</v>
      </c>
    </row>
    <row r="1192" spans="1:12">
      <c r="A1192" s="183" t="s">
        <v>2420</v>
      </c>
      <c r="B1192" s="183" t="s">
        <v>2421</v>
      </c>
      <c r="C1192">
        <v>50230302</v>
      </c>
      <c r="D1192">
        <v>48</v>
      </c>
      <c r="E1192">
        <v>0</v>
      </c>
      <c r="F1192">
        <v>0</v>
      </c>
      <c r="G1192">
        <v>0</v>
      </c>
      <c r="H1192">
        <v>48</v>
      </c>
      <c r="I1192" s="183" t="s">
        <v>1098</v>
      </c>
      <c r="J1192" s="183" t="s">
        <v>12050</v>
      </c>
      <c r="K1192">
        <v>0</v>
      </c>
      <c r="L1192">
        <v>48</v>
      </c>
    </row>
    <row r="1193" spans="1:12">
      <c r="A1193" s="183" t="s">
        <v>7149</v>
      </c>
      <c r="B1193" s="183" t="s">
        <v>7150</v>
      </c>
      <c r="C1193">
        <v>50230403</v>
      </c>
      <c r="D1193">
        <v>24</v>
      </c>
      <c r="E1193">
        <v>0</v>
      </c>
      <c r="F1193">
        <v>0</v>
      </c>
      <c r="G1193">
        <v>0</v>
      </c>
      <c r="H1193">
        <v>24</v>
      </c>
      <c r="I1193" s="183" t="s">
        <v>1098</v>
      </c>
      <c r="J1193" s="183" t="s">
        <v>12055</v>
      </c>
      <c r="K1193">
        <v>0</v>
      </c>
      <c r="L1193">
        <v>24</v>
      </c>
    </row>
    <row r="1194" spans="1:12">
      <c r="A1194" s="183" t="s">
        <v>2110</v>
      </c>
      <c r="B1194" s="183" t="s">
        <v>2111</v>
      </c>
      <c r="C1194">
        <v>50232217</v>
      </c>
      <c r="D1194">
        <v>24</v>
      </c>
      <c r="E1194">
        <v>0</v>
      </c>
      <c r="F1194">
        <v>0</v>
      </c>
      <c r="G1194">
        <v>0</v>
      </c>
      <c r="H1194">
        <v>24</v>
      </c>
      <c r="I1194" s="183" t="s">
        <v>1098</v>
      </c>
      <c r="J1194" s="183" t="s">
        <v>12052</v>
      </c>
      <c r="K1194">
        <v>0</v>
      </c>
      <c r="L1194">
        <v>24</v>
      </c>
    </row>
    <row r="1195" spans="1:12">
      <c r="A1195" s="183" t="s">
        <v>3018</v>
      </c>
      <c r="B1195" s="183" t="s">
        <v>3019</v>
      </c>
      <c r="C1195">
        <v>50232317</v>
      </c>
      <c r="D1195">
        <v>9</v>
      </c>
      <c r="E1195">
        <v>0</v>
      </c>
      <c r="F1195">
        <v>0</v>
      </c>
      <c r="G1195">
        <v>0</v>
      </c>
      <c r="H1195">
        <v>9</v>
      </c>
      <c r="I1195" s="183" t="s">
        <v>1098</v>
      </c>
      <c r="J1195" s="183" t="s">
        <v>12058</v>
      </c>
      <c r="K1195">
        <v>0</v>
      </c>
      <c r="L1195">
        <v>9</v>
      </c>
    </row>
    <row r="1196" spans="1:12">
      <c r="A1196" s="183" t="s">
        <v>3037</v>
      </c>
      <c r="B1196" s="183" t="s">
        <v>3038</v>
      </c>
      <c r="C1196">
        <v>50232417</v>
      </c>
      <c r="D1196">
        <v>46</v>
      </c>
      <c r="E1196">
        <v>0</v>
      </c>
      <c r="F1196">
        <v>0</v>
      </c>
      <c r="G1196">
        <v>0</v>
      </c>
      <c r="H1196">
        <v>46</v>
      </c>
      <c r="I1196" s="183" t="s">
        <v>1098</v>
      </c>
      <c r="J1196" s="183" t="s">
        <v>12050</v>
      </c>
      <c r="K1196">
        <v>0</v>
      </c>
      <c r="L1196">
        <v>46</v>
      </c>
    </row>
    <row r="1197" spans="1:12">
      <c r="A1197" s="183" t="s">
        <v>8003</v>
      </c>
      <c r="B1197" s="183" t="s">
        <v>8004</v>
      </c>
      <c r="C1197">
        <v>50234117</v>
      </c>
      <c r="D1197">
        <v>48</v>
      </c>
      <c r="E1197">
        <v>0</v>
      </c>
      <c r="F1197">
        <v>0</v>
      </c>
      <c r="G1197">
        <v>0</v>
      </c>
      <c r="H1197">
        <v>48</v>
      </c>
      <c r="I1197" s="183" t="s">
        <v>1098</v>
      </c>
      <c r="J1197" s="183" t="s">
        <v>12052</v>
      </c>
      <c r="K1197">
        <v>0</v>
      </c>
      <c r="L1197">
        <v>48</v>
      </c>
    </row>
    <row r="1198" spans="1:12">
      <c r="A1198" s="183" t="s">
        <v>2638</v>
      </c>
      <c r="B1198" s="183" t="s">
        <v>2639</v>
      </c>
      <c r="C1198">
        <v>50234410</v>
      </c>
      <c r="D1198">
        <v>36</v>
      </c>
      <c r="E1198">
        <v>0</v>
      </c>
      <c r="F1198">
        <v>0</v>
      </c>
      <c r="G1198">
        <v>0</v>
      </c>
      <c r="H1198">
        <v>36</v>
      </c>
      <c r="I1198" s="183" t="s">
        <v>1098</v>
      </c>
      <c r="J1198" s="183" t="s">
        <v>12061</v>
      </c>
      <c r="K1198">
        <v>0</v>
      </c>
      <c r="L1198">
        <v>36</v>
      </c>
    </row>
    <row r="1199" spans="1:12">
      <c r="A1199" s="183" t="s">
        <v>8192</v>
      </c>
      <c r="B1199" s="183" t="s">
        <v>8193</v>
      </c>
      <c r="C1199">
        <v>50236116</v>
      </c>
      <c r="D1199">
        <v>37</v>
      </c>
      <c r="E1199">
        <v>0</v>
      </c>
      <c r="F1199">
        <v>0</v>
      </c>
      <c r="G1199">
        <v>0</v>
      </c>
      <c r="H1199">
        <v>37</v>
      </c>
      <c r="I1199" s="183" t="s">
        <v>1098</v>
      </c>
      <c r="J1199" s="183" t="s">
        <v>12056</v>
      </c>
      <c r="K1199">
        <v>0</v>
      </c>
      <c r="L1199">
        <v>37</v>
      </c>
    </row>
    <row r="1200" spans="1:12">
      <c r="A1200" s="183" t="s">
        <v>1428</v>
      </c>
      <c r="B1200" s="183" t="s">
        <v>1429</v>
      </c>
      <c r="C1200">
        <v>50236215</v>
      </c>
      <c r="D1200">
        <v>49</v>
      </c>
      <c r="E1200">
        <v>0</v>
      </c>
      <c r="F1200">
        <v>0</v>
      </c>
      <c r="G1200">
        <v>0</v>
      </c>
      <c r="H1200">
        <v>49</v>
      </c>
      <c r="I1200" s="183" t="s">
        <v>1098</v>
      </c>
      <c r="J1200" s="183" t="s">
        <v>12052</v>
      </c>
      <c r="K1200">
        <v>0</v>
      </c>
      <c r="L1200">
        <v>49</v>
      </c>
    </row>
    <row r="1201" spans="1:12">
      <c r="A1201" s="183" t="s">
        <v>1776</v>
      </c>
      <c r="B1201" s="183" t="s">
        <v>1777</v>
      </c>
      <c r="C1201">
        <v>50236515</v>
      </c>
      <c r="D1201">
        <v>50</v>
      </c>
      <c r="E1201">
        <v>0</v>
      </c>
      <c r="F1201">
        <v>0</v>
      </c>
      <c r="G1201">
        <v>0</v>
      </c>
      <c r="H1201">
        <v>50</v>
      </c>
      <c r="I1201" s="183" t="s">
        <v>1098</v>
      </c>
      <c r="J1201" s="183" t="s">
        <v>12091</v>
      </c>
      <c r="K1201">
        <v>0</v>
      </c>
      <c r="L1201">
        <v>50</v>
      </c>
    </row>
    <row r="1202" spans="1:12">
      <c r="A1202" s="183" t="s">
        <v>1609</v>
      </c>
      <c r="B1202" s="183" t="s">
        <v>1610</v>
      </c>
      <c r="C1202">
        <v>50238102</v>
      </c>
      <c r="D1202">
        <v>50</v>
      </c>
      <c r="E1202">
        <v>0</v>
      </c>
      <c r="F1202">
        <v>0</v>
      </c>
      <c r="G1202">
        <v>0</v>
      </c>
      <c r="H1202">
        <v>50</v>
      </c>
      <c r="I1202" s="183" t="s">
        <v>1098</v>
      </c>
      <c r="J1202" s="183" t="s">
        <v>12052</v>
      </c>
      <c r="K1202">
        <v>0</v>
      </c>
      <c r="L1202">
        <v>50</v>
      </c>
    </row>
    <row r="1203" spans="1:12">
      <c r="A1203" s="183" t="s">
        <v>8324</v>
      </c>
      <c r="B1203" s="183" t="s">
        <v>8325</v>
      </c>
      <c r="C1203">
        <v>50238115</v>
      </c>
      <c r="D1203">
        <v>50</v>
      </c>
      <c r="E1203">
        <v>0</v>
      </c>
      <c r="F1203">
        <v>0</v>
      </c>
      <c r="G1203">
        <v>0</v>
      </c>
      <c r="H1203">
        <v>50</v>
      </c>
      <c r="I1203" s="183" t="s">
        <v>1098</v>
      </c>
      <c r="J1203" s="183" t="s">
        <v>12055</v>
      </c>
      <c r="K1203">
        <v>0</v>
      </c>
      <c r="L1203">
        <v>50</v>
      </c>
    </row>
    <row r="1204" spans="1:12">
      <c r="A1204" s="183" t="s">
        <v>2414</v>
      </c>
      <c r="B1204" s="183" t="s">
        <v>2415</v>
      </c>
      <c r="C1204">
        <v>50238302</v>
      </c>
      <c r="D1204">
        <v>48</v>
      </c>
      <c r="E1204">
        <v>0</v>
      </c>
      <c r="F1204">
        <v>0</v>
      </c>
      <c r="G1204">
        <v>0</v>
      </c>
      <c r="H1204">
        <v>48</v>
      </c>
      <c r="I1204" s="183" t="s">
        <v>1098</v>
      </c>
      <c r="J1204" s="183" t="s">
        <v>12052</v>
      </c>
      <c r="K1204">
        <v>0</v>
      </c>
      <c r="L1204">
        <v>48</v>
      </c>
    </row>
    <row r="1205" spans="1:12">
      <c r="A1205" s="183" t="s">
        <v>2100</v>
      </c>
      <c r="B1205" s="183" t="s">
        <v>2101</v>
      </c>
      <c r="C1205">
        <v>50238516</v>
      </c>
      <c r="D1205">
        <v>50</v>
      </c>
      <c r="E1205">
        <v>0</v>
      </c>
      <c r="F1205">
        <v>0</v>
      </c>
      <c r="G1205">
        <v>0</v>
      </c>
      <c r="H1205">
        <v>50</v>
      </c>
      <c r="I1205" s="183" t="s">
        <v>1098</v>
      </c>
      <c r="J1205" s="183" t="s">
        <v>12061</v>
      </c>
      <c r="K1205">
        <v>0</v>
      </c>
      <c r="L1205">
        <v>50</v>
      </c>
    </row>
    <row r="1206" spans="1:12">
      <c r="A1206" s="183" t="s">
        <v>1954</v>
      </c>
      <c r="B1206" s="183" t="s">
        <v>1955</v>
      </c>
      <c r="C1206">
        <v>50240301</v>
      </c>
      <c r="D1206">
        <v>35</v>
      </c>
      <c r="E1206">
        <v>0</v>
      </c>
      <c r="F1206">
        <v>0</v>
      </c>
      <c r="G1206">
        <v>0</v>
      </c>
      <c r="H1206">
        <v>35</v>
      </c>
      <c r="I1206" s="183" t="s">
        <v>1098</v>
      </c>
      <c r="J1206" s="183" t="s">
        <v>12060</v>
      </c>
      <c r="K1206">
        <v>0</v>
      </c>
      <c r="L1206">
        <v>35</v>
      </c>
    </row>
    <row r="1207" spans="1:12">
      <c r="A1207" s="183" t="s">
        <v>1770</v>
      </c>
      <c r="B1207" s="183" t="s">
        <v>1771</v>
      </c>
      <c r="C1207">
        <v>50240308</v>
      </c>
      <c r="D1207">
        <v>50</v>
      </c>
      <c r="E1207">
        <v>0</v>
      </c>
      <c r="F1207">
        <v>0</v>
      </c>
      <c r="G1207">
        <v>0</v>
      </c>
      <c r="H1207">
        <v>50</v>
      </c>
      <c r="I1207" s="183" t="s">
        <v>1098</v>
      </c>
      <c r="J1207" s="183" t="s">
        <v>12059</v>
      </c>
      <c r="K1207">
        <v>0</v>
      </c>
      <c r="L1207">
        <v>50</v>
      </c>
    </row>
    <row r="1208" spans="1:12">
      <c r="A1208" s="183" t="s">
        <v>2117</v>
      </c>
      <c r="B1208" s="183" t="s">
        <v>2118</v>
      </c>
      <c r="C1208">
        <v>50240317</v>
      </c>
      <c r="D1208">
        <v>19</v>
      </c>
      <c r="E1208">
        <v>0</v>
      </c>
      <c r="F1208">
        <v>0</v>
      </c>
      <c r="G1208">
        <v>0</v>
      </c>
      <c r="H1208">
        <v>19</v>
      </c>
      <c r="I1208" s="183" t="s">
        <v>1098</v>
      </c>
      <c r="J1208" s="183" t="s">
        <v>12061</v>
      </c>
      <c r="K1208">
        <v>0</v>
      </c>
      <c r="L1208">
        <v>19</v>
      </c>
    </row>
    <row r="1209" spans="1:12">
      <c r="A1209" s="183" t="s">
        <v>6278</v>
      </c>
      <c r="B1209" s="183" t="s">
        <v>6279</v>
      </c>
      <c r="C1209">
        <v>37178205</v>
      </c>
      <c r="D1209">
        <v>527</v>
      </c>
      <c r="E1209">
        <v>0</v>
      </c>
      <c r="F1209">
        <v>1</v>
      </c>
      <c r="G1209">
        <v>0</v>
      </c>
      <c r="H1209">
        <v>528</v>
      </c>
      <c r="I1209" s="183" t="s">
        <v>1016</v>
      </c>
      <c r="J1209" s="183" t="s">
        <v>12094</v>
      </c>
      <c r="K1209">
        <v>0</v>
      </c>
      <c r="L1209">
        <v>527</v>
      </c>
    </row>
    <row r="1210" spans="1:12">
      <c r="A1210" s="183" t="s">
        <v>689</v>
      </c>
      <c r="B1210" s="183" t="s">
        <v>683</v>
      </c>
      <c r="C1210">
        <v>37178221</v>
      </c>
      <c r="D1210">
        <v>979</v>
      </c>
      <c r="E1210">
        <v>0</v>
      </c>
      <c r="F1210">
        <v>2</v>
      </c>
      <c r="G1210">
        <v>0</v>
      </c>
      <c r="H1210">
        <v>981</v>
      </c>
      <c r="I1210" s="183" t="s">
        <v>1016</v>
      </c>
      <c r="J1210" s="183" t="s">
        <v>12061</v>
      </c>
      <c r="K1210">
        <v>0</v>
      </c>
      <c r="L1210">
        <v>979</v>
      </c>
    </row>
    <row r="1211" spans="1:12">
      <c r="A1211" s="183" t="s">
        <v>4247</v>
      </c>
      <c r="B1211" s="183" t="s">
        <v>3978</v>
      </c>
      <c r="C1211">
        <v>8800268998321</v>
      </c>
      <c r="D1211">
        <v>18</v>
      </c>
      <c r="E1211">
        <v>0</v>
      </c>
      <c r="F1211">
        <v>0</v>
      </c>
      <c r="G1211">
        <v>0</v>
      </c>
      <c r="H1211">
        <v>18</v>
      </c>
      <c r="I1211" s="183" t="s">
        <v>3979</v>
      </c>
      <c r="J1211" s="183" t="s">
        <v>12066</v>
      </c>
      <c r="K1211">
        <v>0</v>
      </c>
      <c r="L1211">
        <v>18</v>
      </c>
    </row>
    <row r="1212" spans="1:12">
      <c r="A1212" s="183" t="s">
        <v>4224</v>
      </c>
      <c r="B1212" s="183" t="s">
        <v>3978</v>
      </c>
      <c r="C1212">
        <v>8800268998390</v>
      </c>
      <c r="D1212">
        <v>48</v>
      </c>
      <c r="E1212">
        <v>0</v>
      </c>
      <c r="F1212">
        <v>0</v>
      </c>
      <c r="G1212">
        <v>0</v>
      </c>
      <c r="H1212">
        <v>48</v>
      </c>
      <c r="I1212" s="183" t="s">
        <v>3979</v>
      </c>
      <c r="J1212" s="183" t="s">
        <v>12063</v>
      </c>
      <c r="K1212">
        <v>0</v>
      </c>
      <c r="L1212">
        <v>48</v>
      </c>
    </row>
    <row r="1213" spans="1:12">
      <c r="A1213" s="183" t="s">
        <v>3984</v>
      </c>
      <c r="B1213" s="183" t="s">
        <v>3978</v>
      </c>
      <c r="C1213">
        <v>8800268998475</v>
      </c>
      <c r="D1213">
        <v>6</v>
      </c>
      <c r="E1213">
        <v>0</v>
      </c>
      <c r="F1213">
        <v>0</v>
      </c>
      <c r="G1213">
        <v>0</v>
      </c>
      <c r="H1213">
        <v>6</v>
      </c>
      <c r="I1213" s="183" t="s">
        <v>3979</v>
      </c>
      <c r="J1213" s="183" t="s">
        <v>12053</v>
      </c>
      <c r="K1213">
        <v>0</v>
      </c>
      <c r="L1213">
        <v>6</v>
      </c>
    </row>
    <row r="1214" spans="1:12">
      <c r="A1214" s="183" t="s">
        <v>4225</v>
      </c>
      <c r="B1214" s="183" t="s">
        <v>3978</v>
      </c>
      <c r="C1214">
        <v>8800268998543</v>
      </c>
      <c r="D1214">
        <v>55</v>
      </c>
      <c r="E1214">
        <v>0</v>
      </c>
      <c r="F1214">
        <v>0</v>
      </c>
      <c r="G1214">
        <v>0</v>
      </c>
      <c r="H1214">
        <v>55</v>
      </c>
      <c r="I1214" s="183" t="s">
        <v>3979</v>
      </c>
      <c r="J1214" s="183" t="s">
        <v>12091</v>
      </c>
      <c r="K1214">
        <v>0</v>
      </c>
      <c r="L1214">
        <v>55</v>
      </c>
    </row>
    <row r="1215" spans="1:12">
      <c r="A1215" s="183" t="s">
        <v>4248</v>
      </c>
      <c r="B1215" s="183" t="s">
        <v>3978</v>
      </c>
      <c r="C1215">
        <v>8800268998567</v>
      </c>
      <c r="D1215">
        <v>65</v>
      </c>
      <c r="E1215">
        <v>0</v>
      </c>
      <c r="F1215">
        <v>0</v>
      </c>
      <c r="G1215">
        <v>0</v>
      </c>
      <c r="H1215">
        <v>65</v>
      </c>
      <c r="I1215" s="183" t="s">
        <v>3979</v>
      </c>
      <c r="J1215" s="183" t="s">
        <v>12067</v>
      </c>
      <c r="K1215">
        <v>0</v>
      </c>
      <c r="L1215">
        <v>65</v>
      </c>
    </row>
    <row r="1216" spans="1:12">
      <c r="A1216" s="183" t="s">
        <v>4005</v>
      </c>
      <c r="B1216" s="183" t="s">
        <v>3978</v>
      </c>
      <c r="C1216">
        <v>8800268998598</v>
      </c>
      <c r="D1216">
        <v>49</v>
      </c>
      <c r="E1216">
        <v>0</v>
      </c>
      <c r="F1216">
        <v>0</v>
      </c>
      <c r="G1216">
        <v>0</v>
      </c>
      <c r="H1216">
        <v>49</v>
      </c>
      <c r="I1216" s="183" t="s">
        <v>3979</v>
      </c>
      <c r="J1216" s="183" t="s">
        <v>12067</v>
      </c>
      <c r="K1216">
        <v>0</v>
      </c>
      <c r="L1216">
        <v>49</v>
      </c>
    </row>
    <row r="1217" spans="1:12">
      <c r="A1217" s="183" t="s">
        <v>4182</v>
      </c>
      <c r="B1217" s="183" t="s">
        <v>3978</v>
      </c>
      <c r="C1217">
        <v>8800268998659</v>
      </c>
      <c r="D1217">
        <v>94</v>
      </c>
      <c r="E1217">
        <v>0</v>
      </c>
      <c r="F1217">
        <v>0</v>
      </c>
      <c r="G1217">
        <v>0</v>
      </c>
      <c r="H1217">
        <v>94</v>
      </c>
      <c r="I1217" s="183" t="s">
        <v>3979</v>
      </c>
      <c r="J1217" s="183" t="s">
        <v>12059</v>
      </c>
      <c r="K1217">
        <v>0</v>
      </c>
      <c r="L1217">
        <v>94</v>
      </c>
    </row>
    <row r="1218" spans="1:12">
      <c r="A1218" s="183" t="s">
        <v>4249</v>
      </c>
      <c r="B1218" s="183" t="s">
        <v>3978</v>
      </c>
      <c r="C1218">
        <v>8800268998765</v>
      </c>
      <c r="D1218">
        <v>141</v>
      </c>
      <c r="E1218">
        <v>0</v>
      </c>
      <c r="F1218">
        <v>0</v>
      </c>
      <c r="G1218">
        <v>0</v>
      </c>
      <c r="H1218">
        <v>141</v>
      </c>
      <c r="I1218" s="183" t="s">
        <v>3979</v>
      </c>
      <c r="J1218" s="183" t="s">
        <v>12093</v>
      </c>
      <c r="K1218">
        <v>0</v>
      </c>
      <c r="L1218">
        <v>141</v>
      </c>
    </row>
    <row r="1219" spans="1:12">
      <c r="A1219" s="183" t="s">
        <v>4349</v>
      </c>
      <c r="B1219" s="183" t="s">
        <v>3978</v>
      </c>
      <c r="C1219">
        <v>8800268998819</v>
      </c>
      <c r="D1219">
        <v>63</v>
      </c>
      <c r="E1219">
        <v>0</v>
      </c>
      <c r="F1219">
        <v>0</v>
      </c>
      <c r="G1219">
        <v>0</v>
      </c>
      <c r="H1219">
        <v>63</v>
      </c>
      <c r="I1219" s="183" t="s">
        <v>3979</v>
      </c>
      <c r="J1219" s="183" t="s">
        <v>12094</v>
      </c>
      <c r="K1219">
        <v>0</v>
      </c>
      <c r="L1219">
        <v>63</v>
      </c>
    </row>
    <row r="1220" spans="1:12">
      <c r="A1220" s="183" t="s">
        <v>4474</v>
      </c>
      <c r="B1220" s="183" t="s">
        <v>3978</v>
      </c>
      <c r="C1220">
        <v>8800268998956</v>
      </c>
      <c r="D1220">
        <v>126</v>
      </c>
      <c r="E1220">
        <v>0</v>
      </c>
      <c r="F1220">
        <v>0</v>
      </c>
      <c r="G1220">
        <v>0</v>
      </c>
      <c r="H1220">
        <v>126</v>
      </c>
      <c r="I1220" s="183" t="s">
        <v>3979</v>
      </c>
      <c r="J1220" s="183" t="s">
        <v>12066</v>
      </c>
      <c r="K1220">
        <v>0</v>
      </c>
      <c r="L1220">
        <v>126</v>
      </c>
    </row>
    <row r="1221" spans="1:12">
      <c r="A1221" s="183" t="s">
        <v>4105</v>
      </c>
      <c r="B1221" s="183" t="s">
        <v>3978</v>
      </c>
      <c r="C1221">
        <v>8800268999021</v>
      </c>
      <c r="D1221">
        <v>79</v>
      </c>
      <c r="E1221">
        <v>0</v>
      </c>
      <c r="F1221">
        <v>0</v>
      </c>
      <c r="G1221">
        <v>0</v>
      </c>
      <c r="H1221">
        <v>79</v>
      </c>
      <c r="I1221" s="183" t="s">
        <v>3979</v>
      </c>
      <c r="J1221" s="183" t="s">
        <v>12094</v>
      </c>
      <c r="K1221">
        <v>0</v>
      </c>
      <c r="L1221">
        <v>79</v>
      </c>
    </row>
    <row r="1222" spans="1:12">
      <c r="A1222" s="183" t="s">
        <v>4475</v>
      </c>
      <c r="B1222" s="183" t="s">
        <v>3978</v>
      </c>
      <c r="C1222">
        <v>8800268999038</v>
      </c>
      <c r="D1222">
        <v>3</v>
      </c>
      <c r="E1222">
        <v>0</v>
      </c>
      <c r="F1222">
        <v>0</v>
      </c>
      <c r="G1222">
        <v>0</v>
      </c>
      <c r="H1222">
        <v>3</v>
      </c>
      <c r="I1222" s="183" t="s">
        <v>3979</v>
      </c>
      <c r="J1222" s="183" t="s">
        <v>12063</v>
      </c>
      <c r="K1222">
        <v>0</v>
      </c>
      <c r="L1222">
        <v>3</v>
      </c>
    </row>
    <row r="1223" spans="1:12">
      <c r="A1223" s="183" t="s">
        <v>4350</v>
      </c>
      <c r="B1223" s="183" t="s">
        <v>3978</v>
      </c>
      <c r="C1223">
        <v>8800268999113</v>
      </c>
      <c r="D1223">
        <v>45</v>
      </c>
      <c r="E1223">
        <v>0</v>
      </c>
      <c r="F1223">
        <v>0</v>
      </c>
      <c r="G1223">
        <v>0</v>
      </c>
      <c r="H1223">
        <v>45</v>
      </c>
      <c r="I1223" s="183" t="s">
        <v>3979</v>
      </c>
      <c r="J1223" s="183" t="s">
        <v>12048</v>
      </c>
      <c r="K1223">
        <v>0</v>
      </c>
      <c r="L1223">
        <v>45</v>
      </c>
    </row>
    <row r="1224" spans="1:12">
      <c r="A1224" s="183" t="s">
        <v>4153</v>
      </c>
      <c r="B1224" s="183" t="s">
        <v>3978</v>
      </c>
      <c r="C1224">
        <v>8800268999229</v>
      </c>
      <c r="D1224">
        <v>63</v>
      </c>
      <c r="E1224">
        <v>0</v>
      </c>
      <c r="F1224">
        <v>0</v>
      </c>
      <c r="G1224">
        <v>0</v>
      </c>
      <c r="H1224">
        <v>63</v>
      </c>
      <c r="I1224" s="183" t="s">
        <v>3979</v>
      </c>
      <c r="J1224" s="183" t="s">
        <v>12053</v>
      </c>
      <c r="K1224">
        <v>0</v>
      </c>
      <c r="L1224">
        <v>63</v>
      </c>
    </row>
    <row r="1225" spans="1:12">
      <c r="A1225" s="183" t="s">
        <v>4209</v>
      </c>
      <c r="B1225" s="183" t="s">
        <v>3978</v>
      </c>
      <c r="C1225">
        <v>8800268999281</v>
      </c>
      <c r="D1225">
        <v>42</v>
      </c>
      <c r="E1225">
        <v>0</v>
      </c>
      <c r="F1225">
        <v>0</v>
      </c>
      <c r="G1225">
        <v>0</v>
      </c>
      <c r="H1225">
        <v>42</v>
      </c>
      <c r="I1225" s="183" t="s">
        <v>3979</v>
      </c>
      <c r="J1225" s="183" t="s">
        <v>12053</v>
      </c>
      <c r="K1225">
        <v>0</v>
      </c>
      <c r="L1225">
        <v>42</v>
      </c>
    </row>
    <row r="1226" spans="1:12">
      <c r="A1226" s="183" t="s">
        <v>4104</v>
      </c>
      <c r="B1226" s="183" t="s">
        <v>3978</v>
      </c>
      <c r="C1226">
        <v>8800268999328</v>
      </c>
      <c r="D1226">
        <v>29</v>
      </c>
      <c r="E1226">
        <v>0</v>
      </c>
      <c r="F1226">
        <v>0</v>
      </c>
      <c r="G1226">
        <v>0</v>
      </c>
      <c r="H1226">
        <v>29</v>
      </c>
      <c r="I1226" s="183" t="s">
        <v>3979</v>
      </c>
      <c r="J1226" s="183" t="s">
        <v>12085</v>
      </c>
      <c r="K1226">
        <v>0</v>
      </c>
      <c r="L1226">
        <v>29</v>
      </c>
    </row>
    <row r="1227" spans="1:12">
      <c r="A1227" s="183" t="s">
        <v>4226</v>
      </c>
      <c r="B1227" s="183" t="s">
        <v>3978</v>
      </c>
      <c r="C1227">
        <v>8800268999410</v>
      </c>
      <c r="D1227">
        <v>8</v>
      </c>
      <c r="E1227">
        <v>0</v>
      </c>
      <c r="F1227">
        <v>0</v>
      </c>
      <c r="G1227">
        <v>0</v>
      </c>
      <c r="H1227">
        <v>8</v>
      </c>
      <c r="I1227" s="183" t="s">
        <v>3979</v>
      </c>
      <c r="J1227" s="183" t="s">
        <v>12048</v>
      </c>
      <c r="K1227">
        <v>0</v>
      </c>
      <c r="L1227">
        <v>8</v>
      </c>
    </row>
    <row r="1228" spans="1:12">
      <c r="A1228" s="183" t="s">
        <v>4250</v>
      </c>
      <c r="B1228" s="183" t="s">
        <v>3978</v>
      </c>
      <c r="C1228">
        <v>8800268999496</v>
      </c>
      <c r="D1228">
        <v>5</v>
      </c>
      <c r="E1228">
        <v>0</v>
      </c>
      <c r="F1228">
        <v>0</v>
      </c>
      <c r="G1228">
        <v>0</v>
      </c>
      <c r="H1228">
        <v>5</v>
      </c>
      <c r="I1228" s="183" t="s">
        <v>3979</v>
      </c>
      <c r="J1228" s="183" t="s">
        <v>12094</v>
      </c>
      <c r="K1228">
        <v>0</v>
      </c>
      <c r="L1228">
        <v>5</v>
      </c>
    </row>
    <row r="1229" spans="1:12">
      <c r="A1229" s="183" t="s">
        <v>4131</v>
      </c>
      <c r="B1229" s="183" t="s">
        <v>3978</v>
      </c>
      <c r="C1229">
        <v>8800268999526</v>
      </c>
      <c r="D1229">
        <v>62</v>
      </c>
      <c r="E1229">
        <v>0</v>
      </c>
      <c r="F1229">
        <v>0</v>
      </c>
      <c r="G1229">
        <v>0</v>
      </c>
      <c r="H1229">
        <v>62</v>
      </c>
      <c r="I1229" s="183" t="s">
        <v>3979</v>
      </c>
      <c r="J1229" s="183" t="s">
        <v>12087</v>
      </c>
      <c r="K1229">
        <v>0</v>
      </c>
      <c r="L1229">
        <v>62</v>
      </c>
    </row>
    <row r="1230" spans="1:12">
      <c r="A1230" s="183" t="s">
        <v>4351</v>
      </c>
      <c r="B1230" s="183" t="s">
        <v>3978</v>
      </c>
      <c r="C1230">
        <v>8800268999632</v>
      </c>
      <c r="D1230">
        <v>9</v>
      </c>
      <c r="E1230">
        <v>0</v>
      </c>
      <c r="F1230">
        <v>0</v>
      </c>
      <c r="G1230">
        <v>0</v>
      </c>
      <c r="H1230">
        <v>9</v>
      </c>
      <c r="I1230" s="183" t="s">
        <v>3979</v>
      </c>
      <c r="J1230" s="183" t="s">
        <v>12053</v>
      </c>
      <c r="K1230">
        <v>0</v>
      </c>
      <c r="L1230">
        <v>9</v>
      </c>
    </row>
    <row r="1231" spans="1:12">
      <c r="A1231" s="183" t="s">
        <v>4176</v>
      </c>
      <c r="B1231" s="183" t="s">
        <v>3978</v>
      </c>
      <c r="C1231">
        <v>8800268999700</v>
      </c>
      <c r="D1231">
        <v>96</v>
      </c>
      <c r="E1231">
        <v>0</v>
      </c>
      <c r="F1231">
        <v>0</v>
      </c>
      <c r="G1231">
        <v>0</v>
      </c>
      <c r="H1231">
        <v>96</v>
      </c>
      <c r="I1231" s="183" t="s">
        <v>3979</v>
      </c>
      <c r="J1231" s="183" t="s">
        <v>12053</v>
      </c>
      <c r="K1231">
        <v>0</v>
      </c>
      <c r="L1231">
        <v>96</v>
      </c>
    </row>
    <row r="1232" spans="1:12">
      <c r="A1232" s="183" t="s">
        <v>4227</v>
      </c>
      <c r="B1232" s="183" t="s">
        <v>3978</v>
      </c>
      <c r="C1232">
        <v>8800268999717</v>
      </c>
      <c r="D1232">
        <v>31</v>
      </c>
      <c r="E1232">
        <v>0</v>
      </c>
      <c r="F1232">
        <v>0</v>
      </c>
      <c r="G1232">
        <v>0</v>
      </c>
      <c r="H1232">
        <v>31</v>
      </c>
      <c r="I1232" s="183" t="s">
        <v>3979</v>
      </c>
      <c r="J1232" s="183" t="s">
        <v>12053</v>
      </c>
      <c r="K1232">
        <v>0</v>
      </c>
      <c r="L1232">
        <v>31</v>
      </c>
    </row>
    <row r="1233" spans="1:12">
      <c r="A1233" s="183" t="s">
        <v>4039</v>
      </c>
      <c r="B1233" s="183" t="s">
        <v>3978</v>
      </c>
      <c r="C1233">
        <v>8800268999755</v>
      </c>
      <c r="D1233">
        <v>63</v>
      </c>
      <c r="E1233">
        <v>0</v>
      </c>
      <c r="F1233">
        <v>0</v>
      </c>
      <c r="G1233">
        <v>0</v>
      </c>
      <c r="H1233">
        <v>63</v>
      </c>
      <c r="I1233" s="183" t="s">
        <v>3979</v>
      </c>
      <c r="J1233" s="183" t="s">
        <v>12094</v>
      </c>
      <c r="K1233">
        <v>0</v>
      </c>
      <c r="L1233">
        <v>63</v>
      </c>
    </row>
    <row r="1234" spans="1:12">
      <c r="A1234" s="183" t="s">
        <v>4251</v>
      </c>
      <c r="B1234" s="183" t="s">
        <v>3978</v>
      </c>
      <c r="C1234">
        <v>8800268999816</v>
      </c>
      <c r="D1234">
        <v>33</v>
      </c>
      <c r="E1234">
        <v>0</v>
      </c>
      <c r="F1234">
        <v>0</v>
      </c>
      <c r="G1234">
        <v>0</v>
      </c>
      <c r="H1234">
        <v>33</v>
      </c>
      <c r="I1234" s="183" t="s">
        <v>3979</v>
      </c>
      <c r="J1234" s="183" t="s">
        <v>12095</v>
      </c>
      <c r="K1234">
        <v>0</v>
      </c>
      <c r="L1234">
        <v>33</v>
      </c>
    </row>
    <row r="1235" spans="1:12">
      <c r="A1235" s="183" t="s">
        <v>3985</v>
      </c>
      <c r="B1235" s="183" t="s">
        <v>3978</v>
      </c>
      <c r="C1235">
        <v>8800269000085</v>
      </c>
      <c r="D1235">
        <v>56</v>
      </c>
      <c r="E1235">
        <v>0</v>
      </c>
      <c r="F1235">
        <v>0</v>
      </c>
      <c r="G1235">
        <v>0</v>
      </c>
      <c r="H1235">
        <v>56</v>
      </c>
      <c r="I1235" s="183" t="s">
        <v>3979</v>
      </c>
      <c r="J1235" s="183" t="s">
        <v>12092</v>
      </c>
      <c r="K1235">
        <v>0</v>
      </c>
      <c r="L1235">
        <v>56</v>
      </c>
    </row>
    <row r="1236" spans="1:12">
      <c r="A1236" s="183" t="s">
        <v>4252</v>
      </c>
      <c r="B1236" s="183" t="s">
        <v>3978</v>
      </c>
      <c r="C1236">
        <v>8800269000108</v>
      </c>
      <c r="D1236">
        <v>17</v>
      </c>
      <c r="E1236">
        <v>0</v>
      </c>
      <c r="F1236">
        <v>0</v>
      </c>
      <c r="G1236">
        <v>0</v>
      </c>
      <c r="H1236">
        <v>17</v>
      </c>
      <c r="I1236" s="183" t="s">
        <v>3979</v>
      </c>
      <c r="J1236" s="183" t="s">
        <v>12093</v>
      </c>
      <c r="K1236">
        <v>0</v>
      </c>
      <c r="L1236">
        <v>17</v>
      </c>
    </row>
    <row r="1237" spans="1:12">
      <c r="A1237" s="183" t="s">
        <v>4142</v>
      </c>
      <c r="B1237" s="183" t="s">
        <v>3978</v>
      </c>
      <c r="C1237">
        <v>8800269000306</v>
      </c>
      <c r="D1237">
        <v>141</v>
      </c>
      <c r="E1237">
        <v>0</v>
      </c>
      <c r="F1237">
        <v>0</v>
      </c>
      <c r="G1237">
        <v>0</v>
      </c>
      <c r="H1237">
        <v>141</v>
      </c>
      <c r="I1237" s="183" t="s">
        <v>3979</v>
      </c>
      <c r="J1237" s="183" t="s">
        <v>12093</v>
      </c>
      <c r="K1237">
        <v>0</v>
      </c>
      <c r="L1237">
        <v>141</v>
      </c>
    </row>
    <row r="1238" spans="1:12">
      <c r="A1238" s="183" t="s">
        <v>4152</v>
      </c>
      <c r="B1238" s="183" t="s">
        <v>3978</v>
      </c>
      <c r="C1238">
        <v>8800269000313</v>
      </c>
      <c r="D1238">
        <v>3</v>
      </c>
      <c r="E1238">
        <v>0</v>
      </c>
      <c r="F1238">
        <v>0</v>
      </c>
      <c r="G1238">
        <v>0</v>
      </c>
      <c r="H1238">
        <v>3</v>
      </c>
      <c r="I1238" s="183" t="s">
        <v>3979</v>
      </c>
      <c r="J1238" s="183" t="s">
        <v>12081</v>
      </c>
      <c r="K1238">
        <v>0</v>
      </c>
      <c r="L1238">
        <v>3</v>
      </c>
    </row>
    <row r="1239" spans="1:12">
      <c r="A1239" s="183" t="s">
        <v>4253</v>
      </c>
      <c r="B1239" s="183" t="s">
        <v>3978</v>
      </c>
      <c r="C1239">
        <v>8800269000368</v>
      </c>
      <c r="D1239">
        <v>12</v>
      </c>
      <c r="E1239">
        <v>0</v>
      </c>
      <c r="F1239">
        <v>0</v>
      </c>
      <c r="G1239">
        <v>0</v>
      </c>
      <c r="H1239">
        <v>12</v>
      </c>
      <c r="I1239" s="183" t="s">
        <v>3979</v>
      </c>
      <c r="J1239" s="183" t="s">
        <v>12067</v>
      </c>
      <c r="K1239">
        <v>0</v>
      </c>
      <c r="L1239">
        <v>12</v>
      </c>
    </row>
    <row r="1240" spans="1:12">
      <c r="A1240" s="183" t="s">
        <v>4006</v>
      </c>
      <c r="B1240" s="183" t="s">
        <v>3978</v>
      </c>
      <c r="C1240">
        <v>8800269000450</v>
      </c>
      <c r="D1240">
        <v>114</v>
      </c>
      <c r="E1240">
        <v>0</v>
      </c>
      <c r="F1240">
        <v>0</v>
      </c>
      <c r="G1240">
        <v>0</v>
      </c>
      <c r="H1240">
        <v>114</v>
      </c>
      <c r="I1240" s="183" t="s">
        <v>3979</v>
      </c>
      <c r="J1240" s="183" t="s">
        <v>12094</v>
      </c>
      <c r="K1240">
        <v>0</v>
      </c>
      <c r="L1240">
        <v>114</v>
      </c>
    </row>
    <row r="1241" spans="1:12">
      <c r="A1241" s="183" t="s">
        <v>4137</v>
      </c>
      <c r="B1241" s="183" t="s">
        <v>3978</v>
      </c>
      <c r="C1241">
        <v>8800269000801</v>
      </c>
      <c r="D1241">
        <v>45</v>
      </c>
      <c r="E1241">
        <v>0</v>
      </c>
      <c r="F1241">
        <v>0</v>
      </c>
      <c r="G1241">
        <v>0</v>
      </c>
      <c r="H1241">
        <v>45</v>
      </c>
      <c r="I1241" s="183" t="s">
        <v>3979</v>
      </c>
      <c r="J1241" s="183" t="s">
        <v>12087</v>
      </c>
      <c r="K1241">
        <v>0</v>
      </c>
      <c r="L1241">
        <v>45</v>
      </c>
    </row>
    <row r="1242" spans="1:12">
      <c r="A1242" s="183" t="s">
        <v>4210</v>
      </c>
      <c r="B1242" s="183" t="s">
        <v>3978</v>
      </c>
      <c r="C1242">
        <v>8800269000863</v>
      </c>
      <c r="D1242">
        <v>36</v>
      </c>
      <c r="E1242">
        <v>0</v>
      </c>
      <c r="F1242">
        <v>0</v>
      </c>
      <c r="G1242">
        <v>0</v>
      </c>
      <c r="H1242">
        <v>36</v>
      </c>
      <c r="I1242" s="183" t="s">
        <v>3979</v>
      </c>
      <c r="J1242" s="183" t="s">
        <v>12091</v>
      </c>
      <c r="K1242">
        <v>0</v>
      </c>
      <c r="L1242">
        <v>36</v>
      </c>
    </row>
    <row r="1243" spans="1:12">
      <c r="A1243" s="183" t="s">
        <v>4228</v>
      </c>
      <c r="B1243" s="183" t="s">
        <v>3978</v>
      </c>
      <c r="C1243">
        <v>8800269000924</v>
      </c>
      <c r="D1243">
        <v>4</v>
      </c>
      <c r="E1243">
        <v>0</v>
      </c>
      <c r="F1243">
        <v>0</v>
      </c>
      <c r="G1243">
        <v>0</v>
      </c>
      <c r="H1243">
        <v>4</v>
      </c>
      <c r="I1243" s="183" t="s">
        <v>3979</v>
      </c>
      <c r="J1243" s="183" t="s">
        <v>12048</v>
      </c>
      <c r="K1243">
        <v>0</v>
      </c>
      <c r="L1243">
        <v>4</v>
      </c>
    </row>
    <row r="1244" spans="1:12">
      <c r="A1244" s="183" t="s">
        <v>4254</v>
      </c>
      <c r="B1244" s="183" t="s">
        <v>3978</v>
      </c>
      <c r="C1244">
        <v>8800269001020</v>
      </c>
      <c r="D1244">
        <v>134</v>
      </c>
      <c r="E1244">
        <v>0</v>
      </c>
      <c r="F1244">
        <v>0</v>
      </c>
      <c r="G1244">
        <v>0</v>
      </c>
      <c r="H1244">
        <v>134</v>
      </c>
      <c r="I1244" s="183" t="s">
        <v>3979</v>
      </c>
      <c r="J1244" s="183" t="s">
        <v>12093</v>
      </c>
      <c r="K1244">
        <v>0</v>
      </c>
      <c r="L1244">
        <v>134</v>
      </c>
    </row>
    <row r="1245" spans="1:12">
      <c r="A1245" s="183" t="s">
        <v>4229</v>
      </c>
      <c r="B1245" s="183" t="s">
        <v>3978</v>
      </c>
      <c r="C1245">
        <v>8800269001082</v>
      </c>
      <c r="D1245">
        <v>47</v>
      </c>
      <c r="E1245">
        <v>0</v>
      </c>
      <c r="F1245">
        <v>0</v>
      </c>
      <c r="G1245">
        <v>0</v>
      </c>
      <c r="H1245">
        <v>47</v>
      </c>
      <c r="I1245" s="183" t="s">
        <v>3979</v>
      </c>
      <c r="J1245" s="183" t="s">
        <v>12085</v>
      </c>
      <c r="K1245">
        <v>0</v>
      </c>
      <c r="L1245">
        <v>47</v>
      </c>
    </row>
    <row r="1246" spans="1:12">
      <c r="A1246" s="183" t="s">
        <v>4019</v>
      </c>
      <c r="B1246" s="183" t="s">
        <v>3978</v>
      </c>
      <c r="C1246">
        <v>8800269001136</v>
      </c>
      <c r="D1246">
        <v>76</v>
      </c>
      <c r="E1246">
        <v>0</v>
      </c>
      <c r="F1246">
        <v>0</v>
      </c>
      <c r="G1246">
        <v>0</v>
      </c>
      <c r="H1246">
        <v>76</v>
      </c>
      <c r="I1246" s="183" t="s">
        <v>3979</v>
      </c>
      <c r="J1246" s="183" t="s">
        <v>12081</v>
      </c>
      <c r="K1246">
        <v>0</v>
      </c>
      <c r="L1246">
        <v>76</v>
      </c>
    </row>
    <row r="1247" spans="1:12">
      <c r="A1247" s="183" t="s">
        <v>4091</v>
      </c>
      <c r="B1247" s="183" t="s">
        <v>3978</v>
      </c>
      <c r="C1247">
        <v>8800269001204</v>
      </c>
      <c r="D1247">
        <v>77</v>
      </c>
      <c r="E1247">
        <v>0</v>
      </c>
      <c r="F1247">
        <v>0</v>
      </c>
      <c r="G1247">
        <v>0</v>
      </c>
      <c r="H1247">
        <v>77</v>
      </c>
      <c r="I1247" s="183" t="s">
        <v>3979</v>
      </c>
      <c r="J1247" s="183" t="s">
        <v>12067</v>
      </c>
      <c r="K1247">
        <v>0</v>
      </c>
      <c r="L1247">
        <v>77</v>
      </c>
    </row>
    <row r="1248" spans="1:12">
      <c r="A1248" s="183" t="s">
        <v>1705</v>
      </c>
      <c r="B1248" s="183" t="s">
        <v>1706</v>
      </c>
      <c r="C1248">
        <v>50209101</v>
      </c>
      <c r="D1248">
        <v>63</v>
      </c>
      <c r="E1248">
        <v>0</v>
      </c>
      <c r="F1248">
        <v>0</v>
      </c>
      <c r="G1248">
        <v>0</v>
      </c>
      <c r="H1248">
        <v>63</v>
      </c>
      <c r="I1248" s="183" t="s">
        <v>1098</v>
      </c>
      <c r="J1248" s="183" t="s">
        <v>12061</v>
      </c>
      <c r="K1248">
        <v>0</v>
      </c>
      <c r="L1248">
        <v>63</v>
      </c>
    </row>
    <row r="1249" spans="1:12">
      <c r="A1249" s="183" t="s">
        <v>6910</v>
      </c>
      <c r="B1249" s="183" t="s">
        <v>6911</v>
      </c>
      <c r="C1249">
        <v>50209108</v>
      </c>
      <c r="D1249">
        <v>48</v>
      </c>
      <c r="E1249">
        <v>0</v>
      </c>
      <c r="F1249">
        <v>0</v>
      </c>
      <c r="G1249">
        <v>0</v>
      </c>
      <c r="H1249">
        <v>48</v>
      </c>
      <c r="I1249" s="183" t="s">
        <v>1098</v>
      </c>
      <c r="J1249" s="183" t="s">
        <v>12061</v>
      </c>
      <c r="K1249">
        <v>0</v>
      </c>
      <c r="L1249">
        <v>48</v>
      </c>
    </row>
    <row r="1250" spans="1:12">
      <c r="A1250" s="183" t="s">
        <v>2519</v>
      </c>
      <c r="B1250" s="183" t="s">
        <v>2520</v>
      </c>
      <c r="C1250">
        <v>50209117</v>
      </c>
      <c r="D1250">
        <v>62</v>
      </c>
      <c r="E1250">
        <v>0</v>
      </c>
      <c r="F1250">
        <v>0</v>
      </c>
      <c r="G1250">
        <v>0</v>
      </c>
      <c r="H1250">
        <v>62</v>
      </c>
      <c r="I1250" s="183" t="s">
        <v>1098</v>
      </c>
      <c r="J1250" s="183" t="s">
        <v>12050</v>
      </c>
      <c r="K1250">
        <v>0</v>
      </c>
      <c r="L1250">
        <v>62</v>
      </c>
    </row>
    <row r="1251" spans="1:12">
      <c r="A1251" s="183" t="s">
        <v>2686</v>
      </c>
      <c r="B1251" s="183" t="s">
        <v>2687</v>
      </c>
      <c r="C1251">
        <v>50209202</v>
      </c>
      <c r="D1251">
        <v>39</v>
      </c>
      <c r="E1251">
        <v>0</v>
      </c>
      <c r="F1251">
        <v>0</v>
      </c>
      <c r="G1251">
        <v>0</v>
      </c>
      <c r="H1251">
        <v>39</v>
      </c>
      <c r="I1251" s="183" t="s">
        <v>1098</v>
      </c>
      <c r="J1251" s="183" t="s">
        <v>12052</v>
      </c>
      <c r="K1251">
        <v>0</v>
      </c>
      <c r="L1251">
        <v>39</v>
      </c>
    </row>
    <row r="1252" spans="1:12">
      <c r="A1252" s="183" t="s">
        <v>1703</v>
      </c>
      <c r="B1252" s="183" t="s">
        <v>1704</v>
      </c>
      <c r="C1252">
        <v>50209216</v>
      </c>
      <c r="D1252">
        <v>25</v>
      </c>
      <c r="E1252">
        <v>0</v>
      </c>
      <c r="F1252">
        <v>0</v>
      </c>
      <c r="G1252">
        <v>0</v>
      </c>
      <c r="H1252">
        <v>25</v>
      </c>
      <c r="I1252" s="183" t="s">
        <v>1098</v>
      </c>
      <c r="J1252" s="183" t="s">
        <v>12056</v>
      </c>
      <c r="K1252">
        <v>0</v>
      </c>
      <c r="L1252">
        <v>25</v>
      </c>
    </row>
    <row r="1253" spans="1:12">
      <c r="A1253" s="183" t="s">
        <v>8404</v>
      </c>
      <c r="B1253" s="183" t="s">
        <v>8405</v>
      </c>
      <c r="C1253">
        <v>50209315</v>
      </c>
      <c r="D1253">
        <v>49</v>
      </c>
      <c r="E1253">
        <v>0</v>
      </c>
      <c r="F1253">
        <v>0</v>
      </c>
      <c r="G1253">
        <v>0</v>
      </c>
      <c r="H1253">
        <v>49</v>
      </c>
      <c r="I1253" s="183" t="s">
        <v>1098</v>
      </c>
      <c r="J1253" s="183" t="s">
        <v>12052</v>
      </c>
      <c r="K1253">
        <v>0</v>
      </c>
      <c r="L1253">
        <v>49</v>
      </c>
    </row>
    <row r="1254" spans="1:12">
      <c r="A1254" s="183" t="s">
        <v>5072</v>
      </c>
      <c r="B1254" s="183" t="s">
        <v>5073</v>
      </c>
      <c r="C1254">
        <v>50209416</v>
      </c>
      <c r="D1254">
        <v>19</v>
      </c>
      <c r="E1254">
        <v>0</v>
      </c>
      <c r="F1254">
        <v>0</v>
      </c>
      <c r="G1254">
        <v>0</v>
      </c>
      <c r="H1254">
        <v>19</v>
      </c>
      <c r="I1254" s="183" t="s">
        <v>1098</v>
      </c>
      <c r="J1254" s="183" t="s">
        <v>12060</v>
      </c>
      <c r="K1254">
        <v>0</v>
      </c>
      <c r="L1254">
        <v>19</v>
      </c>
    </row>
    <row r="1255" spans="1:12">
      <c r="A1255" s="183" t="s">
        <v>2541</v>
      </c>
      <c r="B1255" s="183" t="s">
        <v>2542</v>
      </c>
      <c r="C1255">
        <v>50210102</v>
      </c>
      <c r="D1255">
        <v>38</v>
      </c>
      <c r="E1255">
        <v>0</v>
      </c>
      <c r="F1255">
        <v>0</v>
      </c>
      <c r="G1255">
        <v>0</v>
      </c>
      <c r="H1255">
        <v>38</v>
      </c>
      <c r="I1255" s="183" t="s">
        <v>1098</v>
      </c>
      <c r="J1255" s="183" t="s">
        <v>12052</v>
      </c>
      <c r="K1255">
        <v>0</v>
      </c>
      <c r="L1255">
        <v>38</v>
      </c>
    </row>
    <row r="1256" spans="1:12">
      <c r="A1256" s="183" t="s">
        <v>1711</v>
      </c>
      <c r="B1256" s="183" t="s">
        <v>1712</v>
      </c>
      <c r="C1256">
        <v>50210410</v>
      </c>
      <c r="D1256">
        <v>49</v>
      </c>
      <c r="E1256">
        <v>0</v>
      </c>
      <c r="F1256">
        <v>0</v>
      </c>
      <c r="G1256">
        <v>0</v>
      </c>
      <c r="H1256">
        <v>49</v>
      </c>
      <c r="I1256" s="183" t="s">
        <v>1098</v>
      </c>
      <c r="J1256" s="183" t="s">
        <v>12057</v>
      </c>
      <c r="K1256">
        <v>0</v>
      </c>
      <c r="L1256">
        <v>49</v>
      </c>
    </row>
    <row r="1257" spans="1:12">
      <c r="A1257" s="183" t="s">
        <v>1534</v>
      </c>
      <c r="B1257" s="183" t="s">
        <v>1535</v>
      </c>
      <c r="C1257">
        <v>50210416</v>
      </c>
      <c r="D1257">
        <v>55</v>
      </c>
      <c r="E1257">
        <v>0</v>
      </c>
      <c r="F1257">
        <v>0</v>
      </c>
      <c r="G1257">
        <v>0</v>
      </c>
      <c r="H1257">
        <v>55</v>
      </c>
      <c r="I1257" s="183" t="s">
        <v>1098</v>
      </c>
      <c r="J1257" s="183" t="s">
        <v>12063</v>
      </c>
      <c r="K1257">
        <v>0</v>
      </c>
      <c r="L1257">
        <v>55</v>
      </c>
    </row>
    <row r="1258" spans="1:12">
      <c r="A1258" s="183" t="s">
        <v>1701</v>
      </c>
      <c r="B1258" s="183" t="s">
        <v>1702</v>
      </c>
      <c r="C1258">
        <v>50210510</v>
      </c>
      <c r="D1258">
        <v>20</v>
      </c>
      <c r="E1258">
        <v>0</v>
      </c>
      <c r="F1258">
        <v>0</v>
      </c>
      <c r="G1258">
        <v>0</v>
      </c>
      <c r="H1258">
        <v>20</v>
      </c>
      <c r="I1258" s="183" t="s">
        <v>1098</v>
      </c>
      <c r="J1258" s="183" t="s">
        <v>12052</v>
      </c>
      <c r="K1258">
        <v>0</v>
      </c>
      <c r="L1258">
        <v>20</v>
      </c>
    </row>
    <row r="1259" spans="1:12">
      <c r="A1259" s="183" t="s">
        <v>2338</v>
      </c>
      <c r="B1259" s="183" t="s">
        <v>2339</v>
      </c>
      <c r="C1259">
        <v>50211302</v>
      </c>
      <c r="D1259">
        <v>42</v>
      </c>
      <c r="E1259">
        <v>0</v>
      </c>
      <c r="F1259">
        <v>0</v>
      </c>
      <c r="G1259">
        <v>0</v>
      </c>
      <c r="H1259">
        <v>42</v>
      </c>
      <c r="I1259" s="183" t="s">
        <v>1098</v>
      </c>
      <c r="J1259" s="183" t="s">
        <v>12066</v>
      </c>
      <c r="K1259">
        <v>0</v>
      </c>
      <c r="L1259">
        <v>42</v>
      </c>
    </row>
    <row r="1260" spans="1:12">
      <c r="A1260" s="183" t="s">
        <v>5058</v>
      </c>
      <c r="B1260" s="183" t="s">
        <v>5059</v>
      </c>
      <c r="C1260">
        <v>50211316</v>
      </c>
      <c r="D1260">
        <v>46</v>
      </c>
      <c r="E1260">
        <v>0</v>
      </c>
      <c r="F1260">
        <v>0</v>
      </c>
      <c r="G1260">
        <v>0</v>
      </c>
      <c r="H1260">
        <v>46</v>
      </c>
      <c r="I1260" s="183" t="s">
        <v>1098</v>
      </c>
      <c r="J1260" s="183" t="s">
        <v>12061</v>
      </c>
      <c r="K1260">
        <v>0</v>
      </c>
      <c r="L1260">
        <v>46</v>
      </c>
    </row>
    <row r="1261" spans="1:12">
      <c r="A1261" s="183" t="s">
        <v>5066</v>
      </c>
      <c r="B1261" s="183" t="s">
        <v>5067</v>
      </c>
      <c r="C1261">
        <v>50211416</v>
      </c>
      <c r="D1261">
        <v>48</v>
      </c>
      <c r="E1261">
        <v>0</v>
      </c>
      <c r="F1261">
        <v>0</v>
      </c>
      <c r="G1261">
        <v>0</v>
      </c>
      <c r="H1261">
        <v>48</v>
      </c>
      <c r="I1261" s="183" t="s">
        <v>1098</v>
      </c>
      <c r="J1261" s="183" t="s">
        <v>12057</v>
      </c>
      <c r="K1261">
        <v>0</v>
      </c>
      <c r="L1261">
        <v>48</v>
      </c>
    </row>
    <row r="1262" spans="1:12">
      <c r="A1262" s="183" t="s">
        <v>2533</v>
      </c>
      <c r="B1262" s="183" t="s">
        <v>2534</v>
      </c>
      <c r="C1262">
        <v>50212108</v>
      </c>
      <c r="D1262">
        <v>50</v>
      </c>
      <c r="E1262">
        <v>0</v>
      </c>
      <c r="F1262">
        <v>0</v>
      </c>
      <c r="G1262">
        <v>0</v>
      </c>
      <c r="H1262">
        <v>50</v>
      </c>
      <c r="I1262" s="183" t="s">
        <v>1098</v>
      </c>
      <c r="J1262" s="183" t="s">
        <v>12066</v>
      </c>
      <c r="K1262">
        <v>0</v>
      </c>
      <c r="L1262">
        <v>50</v>
      </c>
    </row>
    <row r="1263" spans="1:12">
      <c r="A1263" s="183" t="s">
        <v>7991</v>
      </c>
      <c r="B1263" s="183" t="s">
        <v>7992</v>
      </c>
      <c r="C1263">
        <v>50212117</v>
      </c>
      <c r="D1263">
        <v>45</v>
      </c>
      <c r="E1263">
        <v>0</v>
      </c>
      <c r="F1263">
        <v>0</v>
      </c>
      <c r="G1263">
        <v>0</v>
      </c>
      <c r="H1263">
        <v>45</v>
      </c>
      <c r="I1263" s="183" t="s">
        <v>1098</v>
      </c>
      <c r="J1263" s="183" t="s">
        <v>12056</v>
      </c>
      <c r="K1263">
        <v>0</v>
      </c>
      <c r="L1263">
        <v>45</v>
      </c>
    </row>
    <row r="1264" spans="1:12">
      <c r="A1264" s="183" t="s">
        <v>8184</v>
      </c>
      <c r="B1264" s="183" t="s">
        <v>8185</v>
      </c>
      <c r="C1264">
        <v>50212216</v>
      </c>
      <c r="D1264">
        <v>49</v>
      </c>
      <c r="E1264">
        <v>0</v>
      </c>
      <c r="F1264">
        <v>0</v>
      </c>
      <c r="G1264">
        <v>0</v>
      </c>
      <c r="H1264">
        <v>49</v>
      </c>
      <c r="I1264" s="183" t="s">
        <v>1098</v>
      </c>
      <c r="J1264" s="183" t="s">
        <v>12055</v>
      </c>
      <c r="K1264">
        <v>0</v>
      </c>
      <c r="L1264">
        <v>49</v>
      </c>
    </row>
    <row r="1265" spans="1:12">
      <c r="A1265" s="183" t="s">
        <v>5062</v>
      </c>
      <c r="B1265" s="183" t="s">
        <v>5063</v>
      </c>
      <c r="C1265">
        <v>50212403</v>
      </c>
      <c r="D1265">
        <v>27</v>
      </c>
      <c r="E1265">
        <v>0</v>
      </c>
      <c r="F1265">
        <v>0</v>
      </c>
      <c r="G1265">
        <v>0</v>
      </c>
      <c r="H1265">
        <v>27</v>
      </c>
      <c r="I1265" s="183" t="s">
        <v>1098</v>
      </c>
      <c r="J1265" s="183" t="s">
        <v>12060</v>
      </c>
      <c r="K1265">
        <v>0</v>
      </c>
      <c r="L1265">
        <v>27</v>
      </c>
    </row>
    <row r="1266" spans="1:12">
      <c r="A1266" s="183" t="s">
        <v>8017</v>
      </c>
      <c r="B1266" s="183" t="s">
        <v>8018</v>
      </c>
      <c r="C1266">
        <v>50212417</v>
      </c>
      <c r="D1266">
        <v>48</v>
      </c>
      <c r="E1266">
        <v>0</v>
      </c>
      <c r="F1266">
        <v>0</v>
      </c>
      <c r="G1266">
        <v>0</v>
      </c>
      <c r="H1266">
        <v>48</v>
      </c>
      <c r="I1266" s="183" t="s">
        <v>1098</v>
      </c>
      <c r="J1266" s="183" t="s">
        <v>12057</v>
      </c>
      <c r="K1266">
        <v>0</v>
      </c>
      <c r="L1266">
        <v>48</v>
      </c>
    </row>
    <row r="1267" spans="1:12">
      <c r="A1267" s="183" t="s">
        <v>8033</v>
      </c>
      <c r="B1267" s="183" t="s">
        <v>8034</v>
      </c>
      <c r="C1267">
        <v>50213217</v>
      </c>
      <c r="D1267">
        <v>44</v>
      </c>
      <c r="E1267">
        <v>0</v>
      </c>
      <c r="F1267">
        <v>0</v>
      </c>
      <c r="G1267">
        <v>0</v>
      </c>
      <c r="H1267">
        <v>44</v>
      </c>
      <c r="I1267" s="183" t="s">
        <v>1098</v>
      </c>
      <c r="J1267" s="183" t="s">
        <v>12057</v>
      </c>
      <c r="K1267">
        <v>0</v>
      </c>
      <c r="L1267">
        <v>44</v>
      </c>
    </row>
    <row r="1268" spans="1:12">
      <c r="A1268" s="183" t="s">
        <v>8252</v>
      </c>
      <c r="B1268" s="183" t="s">
        <v>8253</v>
      </c>
      <c r="C1268">
        <v>50213315</v>
      </c>
      <c r="D1268">
        <v>49</v>
      </c>
      <c r="E1268">
        <v>0</v>
      </c>
      <c r="F1268">
        <v>0</v>
      </c>
      <c r="G1268">
        <v>0</v>
      </c>
      <c r="H1268">
        <v>49</v>
      </c>
      <c r="I1268" s="183" t="s">
        <v>1098</v>
      </c>
      <c r="J1268" s="183" t="s">
        <v>12061</v>
      </c>
      <c r="K1268">
        <v>0</v>
      </c>
      <c r="L1268">
        <v>49</v>
      </c>
    </row>
    <row r="1269" spans="1:12">
      <c r="A1269" s="183" t="s">
        <v>5060</v>
      </c>
      <c r="B1269" s="183" t="s">
        <v>5061</v>
      </c>
      <c r="C1269">
        <v>50213416</v>
      </c>
      <c r="D1269">
        <v>47</v>
      </c>
      <c r="E1269">
        <v>0</v>
      </c>
      <c r="F1269">
        <v>0</v>
      </c>
      <c r="G1269">
        <v>0</v>
      </c>
      <c r="H1269">
        <v>47</v>
      </c>
      <c r="I1269" s="183" t="s">
        <v>1098</v>
      </c>
      <c r="J1269" s="183" t="s">
        <v>12057</v>
      </c>
      <c r="K1269">
        <v>0</v>
      </c>
      <c r="L1269">
        <v>47</v>
      </c>
    </row>
    <row r="1270" spans="1:12">
      <c r="A1270" s="183" t="s">
        <v>5150</v>
      </c>
      <c r="B1270" s="183" t="s">
        <v>5151</v>
      </c>
      <c r="C1270">
        <v>50213503</v>
      </c>
      <c r="D1270">
        <v>27</v>
      </c>
      <c r="E1270">
        <v>0</v>
      </c>
      <c r="F1270">
        <v>0</v>
      </c>
      <c r="G1270">
        <v>0</v>
      </c>
      <c r="H1270">
        <v>27</v>
      </c>
      <c r="I1270" s="183" t="s">
        <v>1098</v>
      </c>
      <c r="J1270" s="183" t="s">
        <v>12057</v>
      </c>
      <c r="K1270">
        <v>0</v>
      </c>
      <c r="L1270">
        <v>27</v>
      </c>
    </row>
    <row r="1271" spans="1:12">
      <c r="A1271" s="183" t="s">
        <v>1540</v>
      </c>
      <c r="B1271" s="183" t="s">
        <v>1541</v>
      </c>
      <c r="C1271">
        <v>50213517</v>
      </c>
      <c r="D1271">
        <v>46</v>
      </c>
      <c r="E1271">
        <v>0</v>
      </c>
      <c r="F1271">
        <v>0</v>
      </c>
      <c r="G1271">
        <v>0</v>
      </c>
      <c r="H1271">
        <v>46</v>
      </c>
      <c r="I1271" s="183" t="s">
        <v>1098</v>
      </c>
      <c r="J1271" s="183" t="s">
        <v>12067</v>
      </c>
      <c r="K1271">
        <v>0</v>
      </c>
      <c r="L1271">
        <v>46</v>
      </c>
    </row>
    <row r="1272" spans="1:12">
      <c r="A1272" s="183" t="s">
        <v>2501</v>
      </c>
      <c r="B1272" s="183" t="s">
        <v>2502</v>
      </c>
      <c r="C1272">
        <v>50214202</v>
      </c>
      <c r="D1272">
        <v>47</v>
      </c>
      <c r="E1272">
        <v>0</v>
      </c>
      <c r="F1272">
        <v>0</v>
      </c>
      <c r="G1272">
        <v>0</v>
      </c>
      <c r="H1272">
        <v>47</v>
      </c>
      <c r="I1272" s="183" t="s">
        <v>1098</v>
      </c>
      <c r="J1272" s="183" t="s">
        <v>12059</v>
      </c>
      <c r="K1272">
        <v>0</v>
      </c>
      <c r="L1272">
        <v>47</v>
      </c>
    </row>
    <row r="1273" spans="1:12">
      <c r="A1273" s="183" t="s">
        <v>2525</v>
      </c>
      <c r="B1273" s="183" t="s">
        <v>2526</v>
      </c>
      <c r="C1273">
        <v>50214302</v>
      </c>
      <c r="D1273">
        <v>47</v>
      </c>
      <c r="E1273">
        <v>0</v>
      </c>
      <c r="F1273">
        <v>0</v>
      </c>
      <c r="G1273">
        <v>0</v>
      </c>
      <c r="H1273">
        <v>47</v>
      </c>
      <c r="I1273" s="183" t="s">
        <v>1098</v>
      </c>
      <c r="J1273" s="183" t="s">
        <v>12061</v>
      </c>
      <c r="K1273">
        <v>0</v>
      </c>
      <c r="L1273">
        <v>47</v>
      </c>
    </row>
    <row r="1274" spans="1:12">
      <c r="A1274" s="183" t="s">
        <v>5064</v>
      </c>
      <c r="B1274" s="183" t="s">
        <v>5065</v>
      </c>
      <c r="C1274">
        <v>50214315</v>
      </c>
      <c r="D1274">
        <v>23</v>
      </c>
      <c r="E1274">
        <v>0</v>
      </c>
      <c r="F1274">
        <v>0</v>
      </c>
      <c r="G1274">
        <v>0</v>
      </c>
      <c r="H1274">
        <v>23</v>
      </c>
      <c r="I1274" s="183" t="s">
        <v>1098</v>
      </c>
      <c r="J1274" s="183" t="s">
        <v>12055</v>
      </c>
      <c r="K1274">
        <v>0</v>
      </c>
      <c r="L1274">
        <v>23</v>
      </c>
    </row>
    <row r="1275" spans="1:12">
      <c r="A1275" s="183" t="s">
        <v>2208</v>
      </c>
      <c r="B1275" s="183" t="s">
        <v>2209</v>
      </c>
      <c r="C1275">
        <v>50215201</v>
      </c>
      <c r="D1275">
        <v>23</v>
      </c>
      <c r="E1275">
        <v>0</v>
      </c>
      <c r="F1275">
        <v>0</v>
      </c>
      <c r="G1275">
        <v>0</v>
      </c>
      <c r="H1275">
        <v>23</v>
      </c>
      <c r="I1275" s="183" t="s">
        <v>1098</v>
      </c>
      <c r="J1275" s="183" t="s">
        <v>12063</v>
      </c>
      <c r="K1275">
        <v>0</v>
      </c>
      <c r="L1275">
        <v>23</v>
      </c>
    </row>
    <row r="1276" spans="1:12">
      <c r="A1276" s="183" t="s">
        <v>1707</v>
      </c>
      <c r="B1276" s="183" t="s">
        <v>1708</v>
      </c>
      <c r="C1276">
        <v>50215203</v>
      </c>
      <c r="D1276">
        <v>49</v>
      </c>
      <c r="E1276">
        <v>0</v>
      </c>
      <c r="F1276">
        <v>0</v>
      </c>
      <c r="G1276">
        <v>0</v>
      </c>
      <c r="H1276">
        <v>49</v>
      </c>
      <c r="I1276" s="183" t="s">
        <v>1098</v>
      </c>
      <c r="J1276" s="183" t="s">
        <v>12066</v>
      </c>
      <c r="K1276">
        <v>0</v>
      </c>
      <c r="L1276">
        <v>49</v>
      </c>
    </row>
    <row r="1277" spans="1:12">
      <c r="A1277" s="183" t="s">
        <v>1384</v>
      </c>
      <c r="B1277" s="183" t="s">
        <v>1385</v>
      </c>
      <c r="C1277">
        <v>50215208</v>
      </c>
      <c r="D1277">
        <v>79</v>
      </c>
      <c r="E1277">
        <v>0</v>
      </c>
      <c r="F1277">
        <v>0</v>
      </c>
      <c r="G1277">
        <v>0</v>
      </c>
      <c r="H1277">
        <v>79</v>
      </c>
      <c r="I1277" s="183" t="s">
        <v>1098</v>
      </c>
      <c r="J1277" s="183" t="s">
        <v>12052</v>
      </c>
      <c r="K1277">
        <v>0</v>
      </c>
      <c r="L1277">
        <v>79</v>
      </c>
    </row>
    <row r="1278" spans="1:12">
      <c r="A1278" s="183" t="s">
        <v>5124</v>
      </c>
      <c r="B1278" s="183" t="s">
        <v>5125</v>
      </c>
      <c r="C1278">
        <v>50215503</v>
      </c>
      <c r="D1278">
        <v>49</v>
      </c>
      <c r="E1278">
        <v>0</v>
      </c>
      <c r="F1278">
        <v>0</v>
      </c>
      <c r="G1278">
        <v>0</v>
      </c>
      <c r="H1278">
        <v>49</v>
      </c>
      <c r="I1278" s="183" t="s">
        <v>1098</v>
      </c>
      <c r="J1278" s="183" t="s">
        <v>12056</v>
      </c>
      <c r="K1278">
        <v>0</v>
      </c>
      <c r="L1278">
        <v>49</v>
      </c>
    </row>
    <row r="1279" spans="1:12">
      <c r="A1279" s="183" t="s">
        <v>2506</v>
      </c>
      <c r="B1279" s="183" t="s">
        <v>2507</v>
      </c>
      <c r="C1279">
        <v>50216210</v>
      </c>
      <c r="D1279">
        <v>49</v>
      </c>
      <c r="E1279">
        <v>0</v>
      </c>
      <c r="F1279">
        <v>0</v>
      </c>
      <c r="G1279">
        <v>0</v>
      </c>
      <c r="H1279">
        <v>49</v>
      </c>
      <c r="I1279" s="183" t="s">
        <v>1098</v>
      </c>
      <c r="J1279" s="183" t="s">
        <v>12052</v>
      </c>
      <c r="K1279">
        <v>0</v>
      </c>
      <c r="L1279">
        <v>49</v>
      </c>
    </row>
    <row r="1280" spans="1:12">
      <c r="A1280" s="183" t="s">
        <v>8250</v>
      </c>
      <c r="B1280" s="183" t="s">
        <v>8251</v>
      </c>
      <c r="C1280">
        <v>50216216</v>
      </c>
      <c r="D1280">
        <v>49</v>
      </c>
      <c r="E1280">
        <v>0</v>
      </c>
      <c r="F1280">
        <v>0</v>
      </c>
      <c r="G1280">
        <v>0</v>
      </c>
      <c r="H1280">
        <v>49</v>
      </c>
      <c r="I1280" s="183" t="s">
        <v>1098</v>
      </c>
      <c r="J1280" s="183" t="s">
        <v>12059</v>
      </c>
      <c r="K1280">
        <v>0</v>
      </c>
      <c r="L1280">
        <v>49</v>
      </c>
    </row>
    <row r="1281" spans="1:12">
      <c r="A1281" s="183" t="s">
        <v>8019</v>
      </c>
      <c r="B1281" s="183" t="s">
        <v>8020</v>
      </c>
      <c r="C1281">
        <v>50216317</v>
      </c>
      <c r="D1281">
        <v>72</v>
      </c>
      <c r="E1281">
        <v>0</v>
      </c>
      <c r="F1281">
        <v>0</v>
      </c>
      <c r="G1281">
        <v>0</v>
      </c>
      <c r="H1281">
        <v>72</v>
      </c>
      <c r="I1281" s="183" t="s">
        <v>1098</v>
      </c>
      <c r="J1281" s="183" t="s">
        <v>12060</v>
      </c>
      <c r="K1281">
        <v>0</v>
      </c>
      <c r="L1281">
        <v>72</v>
      </c>
    </row>
    <row r="1282" spans="1:12">
      <c r="A1282" s="183" t="s">
        <v>8400</v>
      </c>
      <c r="B1282" s="183" t="s">
        <v>8401</v>
      </c>
      <c r="C1282">
        <v>50216517</v>
      </c>
      <c r="D1282">
        <v>50</v>
      </c>
      <c r="E1282">
        <v>0</v>
      </c>
      <c r="F1282">
        <v>0</v>
      </c>
      <c r="G1282">
        <v>0</v>
      </c>
      <c r="H1282">
        <v>50</v>
      </c>
      <c r="I1282" s="183" t="s">
        <v>1098</v>
      </c>
      <c r="J1282" s="183" t="s">
        <v>12067</v>
      </c>
      <c r="K1282">
        <v>0</v>
      </c>
      <c r="L1282">
        <v>50</v>
      </c>
    </row>
    <row r="1283" spans="1:12">
      <c r="A1283" s="183" t="s">
        <v>6982</v>
      </c>
      <c r="B1283" s="183" t="s">
        <v>6983</v>
      </c>
      <c r="C1283">
        <v>50217101</v>
      </c>
      <c r="D1283">
        <v>30</v>
      </c>
      <c r="E1283">
        <v>0</v>
      </c>
      <c r="F1283">
        <v>0</v>
      </c>
      <c r="G1283">
        <v>0</v>
      </c>
      <c r="H1283">
        <v>30</v>
      </c>
      <c r="I1283" s="183" t="s">
        <v>1098</v>
      </c>
      <c r="J1283" s="183" t="s">
        <v>12058</v>
      </c>
      <c r="K1283">
        <v>0</v>
      </c>
      <c r="L1283">
        <v>30</v>
      </c>
    </row>
    <row r="1284" spans="1:12">
      <c r="A1284" s="183" t="s">
        <v>6948</v>
      </c>
      <c r="B1284" s="183" t="s">
        <v>6949</v>
      </c>
      <c r="C1284">
        <v>50217108</v>
      </c>
      <c r="D1284">
        <v>43</v>
      </c>
      <c r="E1284">
        <v>0</v>
      </c>
      <c r="F1284">
        <v>0</v>
      </c>
      <c r="G1284">
        <v>0</v>
      </c>
      <c r="H1284">
        <v>43</v>
      </c>
      <c r="I1284" s="183" t="s">
        <v>1098</v>
      </c>
      <c r="J1284" s="183" t="s">
        <v>12053</v>
      </c>
      <c r="K1284">
        <v>0</v>
      </c>
      <c r="L1284">
        <v>43</v>
      </c>
    </row>
    <row r="1285" spans="1:12">
      <c r="A1285" s="183" t="s">
        <v>8218</v>
      </c>
      <c r="B1285" s="183" t="s">
        <v>8219</v>
      </c>
      <c r="C1285">
        <v>50217201</v>
      </c>
      <c r="D1285">
        <v>51</v>
      </c>
      <c r="E1285">
        <v>0</v>
      </c>
      <c r="F1285">
        <v>0</v>
      </c>
      <c r="G1285">
        <v>0</v>
      </c>
      <c r="H1285">
        <v>51</v>
      </c>
      <c r="I1285" s="183" t="s">
        <v>1098</v>
      </c>
      <c r="J1285" s="183" t="s">
        <v>12058</v>
      </c>
      <c r="K1285">
        <v>0</v>
      </c>
      <c r="L1285">
        <v>51</v>
      </c>
    </row>
    <row r="1286" spans="1:12">
      <c r="A1286" s="183" t="s">
        <v>1883</v>
      </c>
      <c r="B1286" s="183" t="s">
        <v>1884</v>
      </c>
      <c r="C1286">
        <v>50217208</v>
      </c>
      <c r="D1286">
        <v>39</v>
      </c>
      <c r="E1286">
        <v>0</v>
      </c>
      <c r="F1286">
        <v>0</v>
      </c>
      <c r="G1286">
        <v>0</v>
      </c>
      <c r="H1286">
        <v>39</v>
      </c>
      <c r="I1286" s="183" t="s">
        <v>1098</v>
      </c>
      <c r="J1286" s="183" t="s">
        <v>12067</v>
      </c>
      <c r="K1286">
        <v>0</v>
      </c>
      <c r="L1286">
        <v>39</v>
      </c>
    </row>
    <row r="1287" spans="1:12">
      <c r="A1287" s="183" t="s">
        <v>8374</v>
      </c>
      <c r="B1287" s="183" t="s">
        <v>8375</v>
      </c>
      <c r="C1287">
        <v>50217215</v>
      </c>
      <c r="D1287">
        <v>50</v>
      </c>
      <c r="E1287">
        <v>0</v>
      </c>
      <c r="F1287">
        <v>0</v>
      </c>
      <c r="G1287">
        <v>0</v>
      </c>
      <c r="H1287">
        <v>50</v>
      </c>
      <c r="I1287" s="183" t="s">
        <v>1098</v>
      </c>
      <c r="J1287" s="183" t="s">
        <v>12056</v>
      </c>
      <c r="K1287">
        <v>0</v>
      </c>
      <c r="L1287">
        <v>50</v>
      </c>
    </row>
    <row r="1288" spans="1:12">
      <c r="A1288" s="183" t="s">
        <v>7266</v>
      </c>
      <c r="B1288" s="183" t="s">
        <v>7267</v>
      </c>
      <c r="C1288">
        <v>50217508</v>
      </c>
      <c r="D1288">
        <v>29</v>
      </c>
      <c r="E1288">
        <v>0</v>
      </c>
      <c r="F1288">
        <v>0</v>
      </c>
      <c r="G1288">
        <v>0</v>
      </c>
      <c r="H1288">
        <v>29</v>
      </c>
      <c r="I1288" s="183" t="s">
        <v>1098</v>
      </c>
      <c r="J1288" s="183" t="s">
        <v>12054</v>
      </c>
      <c r="K1288">
        <v>0</v>
      </c>
      <c r="L1288">
        <v>29</v>
      </c>
    </row>
    <row r="1289" spans="1:12">
      <c r="A1289" s="183" t="s">
        <v>2046</v>
      </c>
      <c r="B1289" s="183" t="s">
        <v>2047</v>
      </c>
      <c r="C1289">
        <v>50218101</v>
      </c>
      <c r="D1289">
        <v>49</v>
      </c>
      <c r="E1289">
        <v>0</v>
      </c>
      <c r="F1289">
        <v>0</v>
      </c>
      <c r="G1289">
        <v>0</v>
      </c>
      <c r="H1289">
        <v>49</v>
      </c>
      <c r="I1289" s="183" t="s">
        <v>1098</v>
      </c>
      <c r="J1289" s="183" t="s">
        <v>12050</v>
      </c>
      <c r="K1289">
        <v>0</v>
      </c>
      <c r="L1289">
        <v>49</v>
      </c>
    </row>
    <row r="1290" spans="1:12">
      <c r="A1290" s="183" t="s">
        <v>1892</v>
      </c>
      <c r="B1290" s="183" t="s">
        <v>1893</v>
      </c>
      <c r="C1290">
        <v>50218103</v>
      </c>
      <c r="D1290">
        <v>48</v>
      </c>
      <c r="E1290">
        <v>0</v>
      </c>
      <c r="F1290">
        <v>0</v>
      </c>
      <c r="G1290">
        <v>0</v>
      </c>
      <c r="H1290">
        <v>48</v>
      </c>
      <c r="I1290" s="183" t="s">
        <v>1098</v>
      </c>
      <c r="J1290" s="183" t="s">
        <v>12056</v>
      </c>
      <c r="K1290">
        <v>0</v>
      </c>
      <c r="L1290">
        <v>48</v>
      </c>
    </row>
    <row r="1291" spans="1:12">
      <c r="A1291" s="183" t="s">
        <v>2044</v>
      </c>
      <c r="B1291" s="183" t="s">
        <v>2045</v>
      </c>
      <c r="C1291">
        <v>50218108</v>
      </c>
      <c r="D1291">
        <v>50</v>
      </c>
      <c r="E1291">
        <v>0</v>
      </c>
      <c r="F1291">
        <v>0</v>
      </c>
      <c r="G1291">
        <v>0</v>
      </c>
      <c r="H1291">
        <v>50</v>
      </c>
      <c r="I1291" s="183" t="s">
        <v>1098</v>
      </c>
      <c r="J1291" s="183" t="s">
        <v>12050</v>
      </c>
      <c r="K1291">
        <v>0</v>
      </c>
      <c r="L1291">
        <v>50</v>
      </c>
    </row>
    <row r="1292" spans="1:12">
      <c r="A1292" s="183" t="s">
        <v>8282</v>
      </c>
      <c r="B1292" s="183" t="s">
        <v>8283</v>
      </c>
      <c r="C1292">
        <v>50219315</v>
      </c>
      <c r="D1292">
        <v>50</v>
      </c>
      <c r="E1292">
        <v>0</v>
      </c>
      <c r="F1292">
        <v>0</v>
      </c>
      <c r="G1292">
        <v>0</v>
      </c>
      <c r="H1292">
        <v>50</v>
      </c>
      <c r="I1292" s="183" t="s">
        <v>1098</v>
      </c>
      <c r="J1292" s="183" t="s">
        <v>12056</v>
      </c>
      <c r="K1292">
        <v>0</v>
      </c>
      <c r="L1292">
        <v>50</v>
      </c>
    </row>
    <row r="1293" spans="1:12">
      <c r="A1293" s="183" t="s">
        <v>2254</v>
      </c>
      <c r="B1293" s="183" t="s">
        <v>2255</v>
      </c>
      <c r="C1293">
        <v>50219516</v>
      </c>
      <c r="D1293">
        <v>47</v>
      </c>
      <c r="E1293">
        <v>0</v>
      </c>
      <c r="F1293">
        <v>0</v>
      </c>
      <c r="G1293">
        <v>0</v>
      </c>
      <c r="H1293">
        <v>47</v>
      </c>
      <c r="I1293" s="183" t="s">
        <v>1098</v>
      </c>
      <c r="J1293" s="183" t="s">
        <v>12061</v>
      </c>
      <c r="K1293">
        <v>0</v>
      </c>
      <c r="L1293">
        <v>47</v>
      </c>
    </row>
    <row r="1294" spans="1:12">
      <c r="A1294" s="183" t="s">
        <v>2246</v>
      </c>
      <c r="B1294" s="183" t="s">
        <v>2247</v>
      </c>
      <c r="C1294">
        <v>50220108</v>
      </c>
      <c r="D1294">
        <v>48</v>
      </c>
      <c r="E1294">
        <v>0</v>
      </c>
      <c r="F1294">
        <v>0</v>
      </c>
      <c r="G1294">
        <v>0</v>
      </c>
      <c r="H1294">
        <v>48</v>
      </c>
      <c r="I1294" s="183" t="s">
        <v>1098</v>
      </c>
      <c r="J1294" s="183" t="s">
        <v>12060</v>
      </c>
      <c r="K1294">
        <v>0</v>
      </c>
      <c r="L1294">
        <v>48</v>
      </c>
    </row>
    <row r="1295" spans="1:12">
      <c r="A1295" s="183" t="s">
        <v>1751</v>
      </c>
      <c r="B1295" s="183" t="s">
        <v>1752</v>
      </c>
      <c r="C1295">
        <v>50220115</v>
      </c>
      <c r="D1295">
        <v>46</v>
      </c>
      <c r="E1295">
        <v>0</v>
      </c>
      <c r="F1295">
        <v>0</v>
      </c>
      <c r="G1295">
        <v>0</v>
      </c>
      <c r="H1295">
        <v>46</v>
      </c>
      <c r="I1295" s="183" t="s">
        <v>1098</v>
      </c>
      <c r="J1295" s="183" t="s">
        <v>12057</v>
      </c>
      <c r="K1295">
        <v>0</v>
      </c>
      <c r="L1295">
        <v>46</v>
      </c>
    </row>
    <row r="1296" spans="1:12">
      <c r="A1296" s="183" t="s">
        <v>7240</v>
      </c>
      <c r="B1296" s="183" t="s">
        <v>7241</v>
      </c>
      <c r="C1296">
        <v>50220515</v>
      </c>
      <c r="D1296">
        <v>18</v>
      </c>
      <c r="E1296">
        <v>0</v>
      </c>
      <c r="F1296">
        <v>0</v>
      </c>
      <c r="G1296">
        <v>0</v>
      </c>
      <c r="H1296">
        <v>18</v>
      </c>
      <c r="I1296" s="183" t="s">
        <v>1098</v>
      </c>
      <c r="J1296" s="183" t="s">
        <v>12056</v>
      </c>
      <c r="K1296">
        <v>0</v>
      </c>
      <c r="L1296">
        <v>18</v>
      </c>
    </row>
    <row r="1297" spans="1:12">
      <c r="A1297" s="183" t="s">
        <v>1408</v>
      </c>
      <c r="B1297" s="183" t="s">
        <v>1409</v>
      </c>
      <c r="C1297">
        <v>50221202</v>
      </c>
      <c r="D1297">
        <v>88</v>
      </c>
      <c r="E1297">
        <v>0</v>
      </c>
      <c r="F1297">
        <v>0</v>
      </c>
      <c r="G1297">
        <v>0</v>
      </c>
      <c r="H1297">
        <v>88</v>
      </c>
      <c r="I1297" s="183" t="s">
        <v>1098</v>
      </c>
      <c r="J1297" s="183" t="s">
        <v>12061</v>
      </c>
      <c r="K1297">
        <v>0</v>
      </c>
      <c r="L1297">
        <v>88</v>
      </c>
    </row>
    <row r="1298" spans="1:12">
      <c r="A1298" s="183" t="s">
        <v>8364</v>
      </c>
      <c r="B1298" s="183" t="s">
        <v>8365</v>
      </c>
      <c r="C1298">
        <v>50221310</v>
      </c>
      <c r="D1298">
        <v>50</v>
      </c>
      <c r="E1298">
        <v>0</v>
      </c>
      <c r="F1298">
        <v>0</v>
      </c>
      <c r="G1298">
        <v>0</v>
      </c>
      <c r="H1298">
        <v>50</v>
      </c>
      <c r="I1298" s="183" t="s">
        <v>1098</v>
      </c>
      <c r="J1298" s="183" t="s">
        <v>12054</v>
      </c>
      <c r="K1298">
        <v>0</v>
      </c>
      <c r="L1298">
        <v>50</v>
      </c>
    </row>
    <row r="1299" spans="1:12">
      <c r="A1299" s="183" t="s">
        <v>7230</v>
      </c>
      <c r="B1299" s="183" t="s">
        <v>7231</v>
      </c>
      <c r="C1299">
        <v>50221416</v>
      </c>
      <c r="D1299">
        <v>18</v>
      </c>
      <c r="E1299">
        <v>0</v>
      </c>
      <c r="F1299">
        <v>0</v>
      </c>
      <c r="G1299">
        <v>0</v>
      </c>
      <c r="H1299">
        <v>18</v>
      </c>
      <c r="I1299" s="183" t="s">
        <v>1098</v>
      </c>
      <c r="J1299" s="183" t="s">
        <v>12052</v>
      </c>
      <c r="K1299">
        <v>0</v>
      </c>
      <c r="L1299">
        <v>18</v>
      </c>
    </row>
    <row r="1300" spans="1:12">
      <c r="A1300" s="183" t="s">
        <v>1746</v>
      </c>
      <c r="B1300" s="183" t="s">
        <v>1747</v>
      </c>
      <c r="C1300">
        <v>50221517</v>
      </c>
      <c r="D1300">
        <v>37</v>
      </c>
      <c r="E1300">
        <v>0</v>
      </c>
      <c r="F1300">
        <v>0</v>
      </c>
      <c r="G1300">
        <v>0</v>
      </c>
      <c r="H1300">
        <v>37</v>
      </c>
      <c r="I1300" s="183" t="s">
        <v>1098</v>
      </c>
      <c r="J1300" s="183" t="s">
        <v>12054</v>
      </c>
      <c r="K1300">
        <v>0</v>
      </c>
      <c r="L1300">
        <v>37</v>
      </c>
    </row>
    <row r="1301" spans="1:12">
      <c r="A1301" s="183" t="s">
        <v>7000</v>
      </c>
      <c r="B1301" s="183" t="s">
        <v>7001</v>
      </c>
      <c r="C1301">
        <v>50222102</v>
      </c>
      <c r="D1301">
        <v>29</v>
      </c>
      <c r="E1301">
        <v>0</v>
      </c>
      <c r="F1301">
        <v>0</v>
      </c>
      <c r="G1301">
        <v>0</v>
      </c>
      <c r="H1301">
        <v>29</v>
      </c>
      <c r="I1301" s="183" t="s">
        <v>1098</v>
      </c>
      <c r="J1301" s="183" t="s">
        <v>12052</v>
      </c>
      <c r="K1301">
        <v>0</v>
      </c>
      <c r="L1301">
        <v>29</v>
      </c>
    </row>
    <row r="1302" spans="1:12">
      <c r="A1302" s="183" t="s">
        <v>2619</v>
      </c>
      <c r="B1302" s="183" t="s">
        <v>2620</v>
      </c>
      <c r="C1302">
        <v>50223115</v>
      </c>
      <c r="D1302">
        <v>40</v>
      </c>
      <c r="E1302">
        <v>0</v>
      </c>
      <c r="F1302">
        <v>0</v>
      </c>
      <c r="G1302">
        <v>0</v>
      </c>
      <c r="H1302">
        <v>40</v>
      </c>
      <c r="I1302" s="183" t="s">
        <v>1098</v>
      </c>
      <c r="J1302" s="183" t="s">
        <v>12054</v>
      </c>
      <c r="K1302">
        <v>0</v>
      </c>
      <c r="L1302">
        <v>40</v>
      </c>
    </row>
    <row r="1303" spans="1:12">
      <c r="A1303" s="183" t="s">
        <v>8178</v>
      </c>
      <c r="B1303" s="183" t="s">
        <v>8179</v>
      </c>
      <c r="C1303">
        <v>50223203</v>
      </c>
      <c r="D1303">
        <v>39</v>
      </c>
      <c r="E1303">
        <v>0</v>
      </c>
      <c r="F1303">
        <v>0</v>
      </c>
      <c r="G1303">
        <v>0</v>
      </c>
      <c r="H1303">
        <v>39</v>
      </c>
      <c r="I1303" s="183" t="s">
        <v>1098</v>
      </c>
      <c r="J1303" s="183" t="s">
        <v>12052</v>
      </c>
      <c r="K1303">
        <v>0</v>
      </c>
      <c r="L1303">
        <v>39</v>
      </c>
    </row>
    <row r="1304" spans="1:12">
      <c r="A1304" s="183" t="s">
        <v>8473</v>
      </c>
      <c r="B1304" s="183" t="s">
        <v>8474</v>
      </c>
      <c r="C1304">
        <v>50223210</v>
      </c>
      <c r="D1304">
        <v>42</v>
      </c>
      <c r="E1304">
        <v>0</v>
      </c>
      <c r="F1304">
        <v>0</v>
      </c>
      <c r="G1304">
        <v>0</v>
      </c>
      <c r="H1304">
        <v>42</v>
      </c>
      <c r="I1304" s="183" t="s">
        <v>1098</v>
      </c>
      <c r="J1304" s="183" t="s">
        <v>12052</v>
      </c>
      <c r="K1304">
        <v>0</v>
      </c>
      <c r="L1304">
        <v>42</v>
      </c>
    </row>
    <row r="1305" spans="1:12">
      <c r="A1305" s="183" t="s">
        <v>2582</v>
      </c>
      <c r="B1305" s="183" t="s">
        <v>2583</v>
      </c>
      <c r="C1305">
        <v>50224101</v>
      </c>
      <c r="D1305">
        <v>74</v>
      </c>
      <c r="E1305">
        <v>0</v>
      </c>
      <c r="F1305">
        <v>0</v>
      </c>
      <c r="G1305">
        <v>0</v>
      </c>
      <c r="H1305">
        <v>74</v>
      </c>
      <c r="I1305" s="183" t="s">
        <v>1098</v>
      </c>
      <c r="J1305" s="183" t="s">
        <v>12067</v>
      </c>
      <c r="K1305">
        <v>0</v>
      </c>
      <c r="L1305">
        <v>74</v>
      </c>
    </row>
    <row r="1306" spans="1:12">
      <c r="A1306" s="183" t="s">
        <v>2611</v>
      </c>
      <c r="B1306" s="183" t="s">
        <v>2612</v>
      </c>
      <c r="C1306">
        <v>50224103</v>
      </c>
      <c r="D1306">
        <v>60</v>
      </c>
      <c r="E1306">
        <v>0</v>
      </c>
      <c r="F1306">
        <v>0</v>
      </c>
      <c r="G1306">
        <v>0</v>
      </c>
      <c r="H1306">
        <v>60</v>
      </c>
      <c r="I1306" s="183" t="s">
        <v>1098</v>
      </c>
      <c r="J1306" s="183" t="s">
        <v>12056</v>
      </c>
      <c r="K1306">
        <v>0</v>
      </c>
      <c r="L1306">
        <v>60</v>
      </c>
    </row>
    <row r="1307" spans="1:12">
      <c r="A1307" s="183" t="s">
        <v>8471</v>
      </c>
      <c r="B1307" s="183" t="s">
        <v>8472</v>
      </c>
      <c r="C1307">
        <v>50224202</v>
      </c>
      <c r="D1307">
        <v>50</v>
      </c>
      <c r="E1307">
        <v>0</v>
      </c>
      <c r="F1307">
        <v>0</v>
      </c>
      <c r="G1307">
        <v>0</v>
      </c>
      <c r="H1307">
        <v>50</v>
      </c>
      <c r="I1307" s="183" t="s">
        <v>1098</v>
      </c>
      <c r="J1307" s="183" t="s">
        <v>12054</v>
      </c>
      <c r="K1307">
        <v>0</v>
      </c>
      <c r="L1307">
        <v>50</v>
      </c>
    </row>
    <row r="1308" spans="1:12">
      <c r="A1308" s="183" t="s">
        <v>8362</v>
      </c>
      <c r="B1308" s="183" t="s">
        <v>8363</v>
      </c>
      <c r="C1308">
        <v>50224215</v>
      </c>
      <c r="D1308">
        <v>47</v>
      </c>
      <c r="E1308">
        <v>0</v>
      </c>
      <c r="F1308">
        <v>0</v>
      </c>
      <c r="G1308">
        <v>0</v>
      </c>
      <c r="H1308">
        <v>47</v>
      </c>
      <c r="I1308" s="183" t="s">
        <v>1098</v>
      </c>
      <c r="J1308" s="183" t="s">
        <v>12056</v>
      </c>
      <c r="K1308">
        <v>0</v>
      </c>
      <c r="L1308">
        <v>47</v>
      </c>
    </row>
    <row r="1309" spans="1:12">
      <c r="A1309" s="183" t="s">
        <v>1108</v>
      </c>
      <c r="B1309" s="183" t="s">
        <v>1109</v>
      </c>
      <c r="C1309">
        <v>50224301</v>
      </c>
      <c r="D1309">
        <v>48</v>
      </c>
      <c r="E1309">
        <v>0</v>
      </c>
      <c r="F1309">
        <v>0</v>
      </c>
      <c r="G1309">
        <v>0</v>
      </c>
      <c r="H1309">
        <v>48</v>
      </c>
      <c r="I1309" s="183" t="s">
        <v>1098</v>
      </c>
      <c r="J1309" s="183" t="s">
        <v>12056</v>
      </c>
      <c r="K1309">
        <v>0</v>
      </c>
      <c r="L1309">
        <v>48</v>
      </c>
    </row>
    <row r="1310" spans="1:12">
      <c r="A1310" s="183" t="s">
        <v>7038</v>
      </c>
      <c r="B1310" s="183" t="s">
        <v>7039</v>
      </c>
      <c r="C1310">
        <v>50224303</v>
      </c>
      <c r="D1310">
        <v>22</v>
      </c>
      <c r="E1310">
        <v>0</v>
      </c>
      <c r="F1310">
        <v>0</v>
      </c>
      <c r="G1310">
        <v>0</v>
      </c>
      <c r="H1310">
        <v>22</v>
      </c>
      <c r="I1310" s="183" t="s">
        <v>1098</v>
      </c>
      <c r="J1310" s="183" t="s">
        <v>12052</v>
      </c>
      <c r="K1310">
        <v>0</v>
      </c>
      <c r="L1310">
        <v>22</v>
      </c>
    </row>
    <row r="1311" spans="1:12">
      <c r="A1311" s="183" t="s">
        <v>8438</v>
      </c>
      <c r="B1311" s="183" t="s">
        <v>8439</v>
      </c>
      <c r="C1311">
        <v>50226417</v>
      </c>
      <c r="D1311">
        <v>45</v>
      </c>
      <c r="E1311">
        <v>0</v>
      </c>
      <c r="F1311">
        <v>0</v>
      </c>
      <c r="G1311">
        <v>0</v>
      </c>
      <c r="H1311">
        <v>45</v>
      </c>
      <c r="I1311" s="183" t="s">
        <v>1098</v>
      </c>
      <c r="J1311" s="183" t="s">
        <v>12061</v>
      </c>
      <c r="K1311">
        <v>0</v>
      </c>
      <c r="L1311">
        <v>45</v>
      </c>
    </row>
    <row r="1312" spans="1:12">
      <c r="A1312" s="183" t="s">
        <v>1939</v>
      </c>
      <c r="B1312" s="183" t="s">
        <v>1940</v>
      </c>
      <c r="C1312">
        <v>50226517</v>
      </c>
      <c r="D1312">
        <v>39</v>
      </c>
      <c r="E1312">
        <v>0</v>
      </c>
      <c r="F1312">
        <v>0</v>
      </c>
      <c r="G1312">
        <v>0</v>
      </c>
      <c r="H1312">
        <v>39</v>
      </c>
      <c r="I1312" s="183" t="s">
        <v>1098</v>
      </c>
      <c r="J1312" s="183" t="s">
        <v>12060</v>
      </c>
      <c r="K1312">
        <v>0</v>
      </c>
      <c r="L1312">
        <v>39</v>
      </c>
    </row>
    <row r="1313" spans="1:12">
      <c r="A1313" s="183" t="s">
        <v>1758</v>
      </c>
      <c r="B1313" s="183" t="s">
        <v>1759</v>
      </c>
      <c r="C1313">
        <v>50228116</v>
      </c>
      <c r="D1313">
        <v>42</v>
      </c>
      <c r="E1313">
        <v>0</v>
      </c>
      <c r="F1313">
        <v>0</v>
      </c>
      <c r="G1313">
        <v>0</v>
      </c>
      <c r="H1313">
        <v>42</v>
      </c>
      <c r="I1313" s="183" t="s">
        <v>1098</v>
      </c>
      <c r="J1313" s="183" t="s">
        <v>12054</v>
      </c>
      <c r="K1313">
        <v>0</v>
      </c>
      <c r="L1313">
        <v>42</v>
      </c>
    </row>
    <row r="1314" spans="1:12">
      <c r="A1314" s="183" t="s">
        <v>2258</v>
      </c>
      <c r="B1314" s="183" t="s">
        <v>2259</v>
      </c>
      <c r="C1314">
        <v>50228202</v>
      </c>
      <c r="D1314">
        <v>51</v>
      </c>
      <c r="E1314">
        <v>0</v>
      </c>
      <c r="F1314">
        <v>0</v>
      </c>
      <c r="G1314">
        <v>0</v>
      </c>
      <c r="H1314">
        <v>51</v>
      </c>
      <c r="I1314" s="183" t="s">
        <v>1098</v>
      </c>
      <c r="J1314" s="183" t="s">
        <v>12055</v>
      </c>
      <c r="K1314">
        <v>0</v>
      </c>
      <c r="L1314">
        <v>51</v>
      </c>
    </row>
    <row r="1315" spans="1:12">
      <c r="A1315" s="183" t="s">
        <v>8059</v>
      </c>
      <c r="B1315" s="183" t="s">
        <v>8060</v>
      </c>
      <c r="C1315">
        <v>50228217</v>
      </c>
      <c r="D1315">
        <v>46</v>
      </c>
      <c r="E1315">
        <v>0</v>
      </c>
      <c r="F1315">
        <v>0</v>
      </c>
      <c r="G1315">
        <v>0</v>
      </c>
      <c r="H1315">
        <v>46</v>
      </c>
      <c r="I1315" s="183" t="s">
        <v>1098</v>
      </c>
      <c r="J1315" s="183" t="s">
        <v>12060</v>
      </c>
      <c r="K1315">
        <v>0</v>
      </c>
      <c r="L1315">
        <v>46</v>
      </c>
    </row>
    <row r="1316" spans="1:12">
      <c r="A1316" s="183" t="s">
        <v>1600</v>
      </c>
      <c r="B1316" s="183" t="s">
        <v>1601</v>
      </c>
      <c r="C1316">
        <v>50228302</v>
      </c>
      <c r="D1316">
        <v>49</v>
      </c>
      <c r="E1316">
        <v>0</v>
      </c>
      <c r="F1316">
        <v>0</v>
      </c>
      <c r="G1316">
        <v>0</v>
      </c>
      <c r="H1316">
        <v>49</v>
      </c>
      <c r="I1316" s="183" t="s">
        <v>1098</v>
      </c>
      <c r="J1316" s="183" t="s">
        <v>12056</v>
      </c>
      <c r="K1316">
        <v>0</v>
      </c>
      <c r="L1316">
        <v>49</v>
      </c>
    </row>
    <row r="1317" spans="1:12">
      <c r="A1317" s="183" t="s">
        <v>1744</v>
      </c>
      <c r="B1317" s="183" t="s">
        <v>1745</v>
      </c>
      <c r="C1317">
        <v>50228517</v>
      </c>
      <c r="D1317">
        <v>47</v>
      </c>
      <c r="E1317">
        <v>0</v>
      </c>
      <c r="F1317">
        <v>0</v>
      </c>
      <c r="G1317">
        <v>0</v>
      </c>
      <c r="H1317">
        <v>47</v>
      </c>
      <c r="I1317" s="183" t="s">
        <v>1098</v>
      </c>
      <c r="J1317" s="183" t="s">
        <v>12059</v>
      </c>
      <c r="K1317">
        <v>0</v>
      </c>
      <c r="L1317">
        <v>47</v>
      </c>
    </row>
    <row r="1318" spans="1:12">
      <c r="A1318" s="183" t="s">
        <v>2609</v>
      </c>
      <c r="B1318" s="183" t="s">
        <v>2610</v>
      </c>
      <c r="C1318">
        <v>50230108</v>
      </c>
      <c r="D1318">
        <v>30</v>
      </c>
      <c r="E1318">
        <v>0</v>
      </c>
      <c r="F1318">
        <v>0</v>
      </c>
      <c r="G1318">
        <v>0</v>
      </c>
      <c r="H1318">
        <v>30</v>
      </c>
      <c r="I1318" s="183" t="s">
        <v>1098</v>
      </c>
      <c r="J1318" s="183" t="s">
        <v>12056</v>
      </c>
      <c r="K1318">
        <v>0</v>
      </c>
      <c r="L1318">
        <v>30</v>
      </c>
    </row>
    <row r="1319" spans="1:12">
      <c r="A1319" s="183" t="s">
        <v>2094</v>
      </c>
      <c r="B1319" s="183" t="s">
        <v>2095</v>
      </c>
      <c r="C1319">
        <v>50230110</v>
      </c>
      <c r="D1319">
        <v>21</v>
      </c>
      <c r="E1319">
        <v>0</v>
      </c>
      <c r="F1319">
        <v>0</v>
      </c>
      <c r="G1319">
        <v>0</v>
      </c>
      <c r="H1319">
        <v>21</v>
      </c>
      <c r="I1319" s="183" t="s">
        <v>1098</v>
      </c>
      <c r="J1319" s="183" t="s">
        <v>12060</v>
      </c>
      <c r="K1319">
        <v>0</v>
      </c>
      <c r="L1319">
        <v>21</v>
      </c>
    </row>
    <row r="1320" spans="1:12">
      <c r="A1320" s="183" t="s">
        <v>2371</v>
      </c>
      <c r="B1320" s="183" t="s">
        <v>2372</v>
      </c>
      <c r="C1320">
        <v>50230116</v>
      </c>
      <c r="D1320">
        <v>74</v>
      </c>
      <c r="E1320">
        <v>0</v>
      </c>
      <c r="F1320">
        <v>0</v>
      </c>
      <c r="G1320">
        <v>0</v>
      </c>
      <c r="H1320">
        <v>74</v>
      </c>
      <c r="I1320" s="183" t="s">
        <v>1098</v>
      </c>
      <c r="J1320" s="183" t="s">
        <v>12060</v>
      </c>
      <c r="K1320">
        <v>0</v>
      </c>
      <c r="L1320">
        <v>74</v>
      </c>
    </row>
    <row r="1321" spans="1:12">
      <c r="A1321" s="183" t="s">
        <v>2597</v>
      </c>
      <c r="B1321" s="183" t="s">
        <v>2598</v>
      </c>
      <c r="C1321">
        <v>50230201</v>
      </c>
      <c r="D1321">
        <v>36</v>
      </c>
      <c r="E1321">
        <v>0</v>
      </c>
      <c r="F1321">
        <v>0</v>
      </c>
      <c r="G1321">
        <v>0</v>
      </c>
      <c r="H1321">
        <v>36</v>
      </c>
      <c r="I1321" s="183" t="s">
        <v>1098</v>
      </c>
      <c r="J1321" s="183" t="s">
        <v>12067</v>
      </c>
      <c r="K1321">
        <v>0</v>
      </c>
      <c r="L1321">
        <v>36</v>
      </c>
    </row>
    <row r="1322" spans="1:12">
      <c r="A1322" s="183" t="s">
        <v>2260</v>
      </c>
      <c r="B1322" s="183" t="s">
        <v>2261</v>
      </c>
      <c r="C1322">
        <v>50230203</v>
      </c>
      <c r="D1322">
        <v>31</v>
      </c>
      <c r="E1322">
        <v>0</v>
      </c>
      <c r="F1322">
        <v>0</v>
      </c>
      <c r="G1322">
        <v>0</v>
      </c>
      <c r="H1322">
        <v>31</v>
      </c>
      <c r="I1322" s="183" t="s">
        <v>1098</v>
      </c>
      <c r="J1322" s="183" t="s">
        <v>12058</v>
      </c>
      <c r="K1322">
        <v>0</v>
      </c>
      <c r="L1322">
        <v>31</v>
      </c>
    </row>
    <row r="1323" spans="1:12">
      <c r="A1323" s="183" t="s">
        <v>2577</v>
      </c>
      <c r="B1323" s="183" t="s">
        <v>2578</v>
      </c>
      <c r="C1323">
        <v>50230208</v>
      </c>
      <c r="D1323">
        <v>50</v>
      </c>
      <c r="E1323">
        <v>0</v>
      </c>
      <c r="F1323">
        <v>0</v>
      </c>
      <c r="G1323">
        <v>0</v>
      </c>
      <c r="H1323">
        <v>50</v>
      </c>
      <c r="I1323" s="183" t="s">
        <v>1098</v>
      </c>
      <c r="J1323" s="183" t="s">
        <v>12054</v>
      </c>
      <c r="K1323">
        <v>0</v>
      </c>
      <c r="L1323">
        <v>50</v>
      </c>
    </row>
    <row r="1324" spans="1:12">
      <c r="A1324" s="183" t="s">
        <v>2616</v>
      </c>
      <c r="B1324" s="183" t="s">
        <v>2617</v>
      </c>
      <c r="C1324">
        <v>50230315</v>
      </c>
      <c r="D1324">
        <v>42</v>
      </c>
      <c r="E1324">
        <v>0</v>
      </c>
      <c r="F1324">
        <v>0</v>
      </c>
      <c r="G1324">
        <v>0</v>
      </c>
      <c r="H1324">
        <v>42</v>
      </c>
      <c r="I1324" s="183" t="s">
        <v>1098</v>
      </c>
      <c r="J1324" s="183" t="s">
        <v>12057</v>
      </c>
      <c r="K1324">
        <v>0</v>
      </c>
      <c r="L1324">
        <v>42</v>
      </c>
    </row>
    <row r="1325" spans="1:12">
      <c r="A1325" s="183" t="s">
        <v>8497</v>
      </c>
      <c r="B1325" s="183" t="s">
        <v>8498</v>
      </c>
      <c r="C1325">
        <v>50232110</v>
      </c>
      <c r="D1325">
        <v>50</v>
      </c>
      <c r="E1325">
        <v>0</v>
      </c>
      <c r="F1325">
        <v>0</v>
      </c>
      <c r="G1325">
        <v>0</v>
      </c>
      <c r="H1325">
        <v>50</v>
      </c>
      <c r="I1325" s="183" t="s">
        <v>1098</v>
      </c>
      <c r="J1325" s="183" t="s">
        <v>12056</v>
      </c>
      <c r="K1325">
        <v>0</v>
      </c>
      <c r="L1325">
        <v>50</v>
      </c>
    </row>
    <row r="1326" spans="1:12">
      <c r="A1326" s="183" t="s">
        <v>2602</v>
      </c>
      <c r="B1326" s="183" t="s">
        <v>2603</v>
      </c>
      <c r="C1326">
        <v>50232302</v>
      </c>
      <c r="D1326">
        <v>48</v>
      </c>
      <c r="E1326">
        <v>0</v>
      </c>
      <c r="F1326">
        <v>0</v>
      </c>
      <c r="G1326">
        <v>0</v>
      </c>
      <c r="H1326">
        <v>48</v>
      </c>
      <c r="I1326" s="183" t="s">
        <v>1098</v>
      </c>
      <c r="J1326" s="183" t="s">
        <v>12058</v>
      </c>
      <c r="K1326">
        <v>0</v>
      </c>
      <c r="L1326">
        <v>48</v>
      </c>
    </row>
    <row r="1327" spans="1:12">
      <c r="A1327" s="183" t="s">
        <v>7141</v>
      </c>
      <c r="B1327" s="183" t="s">
        <v>7142</v>
      </c>
      <c r="C1327">
        <v>50232510</v>
      </c>
      <c r="D1327">
        <v>23</v>
      </c>
      <c r="E1327">
        <v>0</v>
      </c>
      <c r="F1327">
        <v>0</v>
      </c>
      <c r="G1327">
        <v>0</v>
      </c>
      <c r="H1327">
        <v>23</v>
      </c>
      <c r="I1327" s="183" t="s">
        <v>1098</v>
      </c>
      <c r="J1327" s="183" t="s">
        <v>12061</v>
      </c>
      <c r="K1327">
        <v>0</v>
      </c>
      <c r="L1327">
        <v>23</v>
      </c>
    </row>
    <row r="1328" spans="1:12">
      <c r="A1328" s="183" t="s">
        <v>7002</v>
      </c>
      <c r="B1328" s="183" t="s">
        <v>7003</v>
      </c>
      <c r="C1328">
        <v>50234102</v>
      </c>
      <c r="D1328">
        <v>44</v>
      </c>
      <c r="E1328">
        <v>0</v>
      </c>
      <c r="F1328">
        <v>0</v>
      </c>
      <c r="G1328">
        <v>0</v>
      </c>
      <c r="H1328">
        <v>44</v>
      </c>
      <c r="I1328" s="183" t="s">
        <v>1098</v>
      </c>
      <c r="J1328" s="183" t="s">
        <v>12054</v>
      </c>
      <c r="K1328">
        <v>0</v>
      </c>
      <c r="L1328">
        <v>44</v>
      </c>
    </row>
    <row r="1329" spans="1:12">
      <c r="A1329" s="183" t="s">
        <v>2087</v>
      </c>
      <c r="B1329" s="183" t="s">
        <v>2088</v>
      </c>
      <c r="C1329">
        <v>50234115</v>
      </c>
      <c r="D1329">
        <v>50</v>
      </c>
      <c r="E1329">
        <v>0</v>
      </c>
      <c r="F1329">
        <v>0</v>
      </c>
      <c r="G1329">
        <v>0</v>
      </c>
      <c r="H1329">
        <v>50</v>
      </c>
      <c r="I1329" s="183" t="s">
        <v>1098</v>
      </c>
      <c r="J1329" s="183" t="s">
        <v>12061</v>
      </c>
      <c r="K1329">
        <v>0</v>
      </c>
      <c r="L1329">
        <v>50</v>
      </c>
    </row>
    <row r="1330" spans="1:12">
      <c r="A1330" s="183" t="s">
        <v>1933</v>
      </c>
      <c r="B1330" s="183" t="s">
        <v>1934</v>
      </c>
      <c r="C1330">
        <v>50234208</v>
      </c>
      <c r="D1330">
        <v>50</v>
      </c>
      <c r="E1330">
        <v>0</v>
      </c>
      <c r="F1330">
        <v>0</v>
      </c>
      <c r="G1330">
        <v>0</v>
      </c>
      <c r="H1330">
        <v>50</v>
      </c>
      <c r="I1330" s="183" t="s">
        <v>1098</v>
      </c>
      <c r="J1330" s="183" t="s">
        <v>12054</v>
      </c>
      <c r="K1330">
        <v>0</v>
      </c>
      <c r="L1330">
        <v>50</v>
      </c>
    </row>
    <row r="1331" spans="1:12">
      <c r="A1331" s="183" t="s">
        <v>8029</v>
      </c>
      <c r="B1331" s="183" t="s">
        <v>8030</v>
      </c>
      <c r="C1331">
        <v>50234217</v>
      </c>
      <c r="D1331">
        <v>47</v>
      </c>
      <c r="E1331">
        <v>0</v>
      </c>
      <c r="F1331">
        <v>0</v>
      </c>
      <c r="G1331">
        <v>0</v>
      </c>
      <c r="H1331">
        <v>47</v>
      </c>
      <c r="I1331" s="183" t="s">
        <v>1098</v>
      </c>
      <c r="J1331" s="183" t="s">
        <v>12056</v>
      </c>
      <c r="K1331">
        <v>0</v>
      </c>
      <c r="L1331">
        <v>47</v>
      </c>
    </row>
    <row r="1332" spans="1:12">
      <c r="A1332" s="183" t="s">
        <v>6958</v>
      </c>
      <c r="B1332" s="183" t="s">
        <v>6959</v>
      </c>
      <c r="C1332">
        <v>50236108</v>
      </c>
      <c r="D1332">
        <v>45</v>
      </c>
      <c r="E1332">
        <v>0</v>
      </c>
      <c r="F1332">
        <v>0</v>
      </c>
      <c r="G1332">
        <v>0</v>
      </c>
      <c r="H1332">
        <v>45</v>
      </c>
      <c r="I1332" s="183" t="s">
        <v>1098</v>
      </c>
      <c r="J1332" s="183" t="s">
        <v>12066</v>
      </c>
      <c r="K1332">
        <v>0</v>
      </c>
      <c r="L1332">
        <v>45</v>
      </c>
    </row>
    <row r="1333" spans="1:12">
      <c r="A1333" s="183" t="s">
        <v>1602</v>
      </c>
      <c r="B1333" s="183" t="s">
        <v>1603</v>
      </c>
      <c r="C1333">
        <v>50236516</v>
      </c>
      <c r="D1333">
        <v>49</v>
      </c>
      <c r="E1333">
        <v>0</v>
      </c>
      <c r="F1333">
        <v>0</v>
      </c>
      <c r="G1333">
        <v>0</v>
      </c>
      <c r="H1333">
        <v>49</v>
      </c>
      <c r="I1333" s="183" t="s">
        <v>1098</v>
      </c>
      <c r="J1333" s="183" t="s">
        <v>12053</v>
      </c>
      <c r="K1333">
        <v>0</v>
      </c>
      <c r="L1333">
        <v>49</v>
      </c>
    </row>
    <row r="1334" spans="1:12">
      <c r="A1334" s="183" t="s">
        <v>8176</v>
      </c>
      <c r="B1334" s="183" t="s">
        <v>8177</v>
      </c>
      <c r="C1334">
        <v>50238116</v>
      </c>
      <c r="D1334">
        <v>50</v>
      </c>
      <c r="E1334">
        <v>0</v>
      </c>
      <c r="F1334">
        <v>0</v>
      </c>
      <c r="G1334">
        <v>0</v>
      </c>
      <c r="H1334">
        <v>50</v>
      </c>
      <c r="I1334" s="183" t="s">
        <v>1098</v>
      </c>
      <c r="J1334" s="183" t="s">
        <v>12057</v>
      </c>
      <c r="K1334">
        <v>0</v>
      </c>
      <c r="L1334">
        <v>50</v>
      </c>
    </row>
    <row r="1335" spans="1:12">
      <c r="A1335" s="183" t="s">
        <v>2592</v>
      </c>
      <c r="B1335" s="183" t="s">
        <v>2593</v>
      </c>
      <c r="C1335">
        <v>50238202</v>
      </c>
      <c r="D1335">
        <v>49</v>
      </c>
      <c r="E1335">
        <v>0</v>
      </c>
      <c r="F1335">
        <v>0</v>
      </c>
      <c r="G1335">
        <v>0</v>
      </c>
      <c r="H1335">
        <v>49</v>
      </c>
      <c r="I1335" s="183" t="s">
        <v>1098</v>
      </c>
      <c r="J1335" s="183" t="s">
        <v>12057</v>
      </c>
      <c r="K1335">
        <v>0</v>
      </c>
      <c r="L1335">
        <v>49</v>
      </c>
    </row>
    <row r="1336" spans="1:12">
      <c r="A1336" s="183" t="s">
        <v>2011</v>
      </c>
      <c r="B1336" s="183" t="s">
        <v>2012</v>
      </c>
      <c r="C1336">
        <v>50230503</v>
      </c>
      <c r="D1336">
        <v>50</v>
      </c>
      <c r="E1336">
        <v>0</v>
      </c>
      <c r="F1336">
        <v>0</v>
      </c>
      <c r="G1336">
        <v>0</v>
      </c>
      <c r="H1336">
        <v>50</v>
      </c>
      <c r="I1336" s="183" t="s">
        <v>1098</v>
      </c>
      <c r="J1336" s="183" t="s">
        <v>12057</v>
      </c>
      <c r="K1336">
        <v>0</v>
      </c>
      <c r="L1336">
        <v>50</v>
      </c>
    </row>
    <row r="1337" spans="1:12">
      <c r="A1337" s="183" t="s">
        <v>8505</v>
      </c>
      <c r="B1337" s="183" t="s">
        <v>8506</v>
      </c>
      <c r="C1337">
        <v>50230517</v>
      </c>
      <c r="D1337">
        <v>77</v>
      </c>
      <c r="E1337">
        <v>0</v>
      </c>
      <c r="F1337">
        <v>0</v>
      </c>
      <c r="G1337">
        <v>0</v>
      </c>
      <c r="H1337">
        <v>77</v>
      </c>
      <c r="I1337" s="183" t="s">
        <v>1098</v>
      </c>
      <c r="J1337" s="183" t="s">
        <v>12063</v>
      </c>
      <c r="K1337">
        <v>0</v>
      </c>
      <c r="L1337">
        <v>77</v>
      </c>
    </row>
    <row r="1338" spans="1:12">
      <c r="A1338" s="183" t="s">
        <v>1869</v>
      </c>
      <c r="B1338" s="183" t="s">
        <v>1870</v>
      </c>
      <c r="C1338">
        <v>50232102</v>
      </c>
      <c r="D1338">
        <v>38</v>
      </c>
      <c r="E1338">
        <v>0</v>
      </c>
      <c r="F1338">
        <v>0</v>
      </c>
      <c r="G1338">
        <v>0</v>
      </c>
      <c r="H1338">
        <v>38</v>
      </c>
      <c r="I1338" s="183" t="s">
        <v>1098</v>
      </c>
      <c r="J1338" s="183" t="s">
        <v>12066</v>
      </c>
      <c r="K1338">
        <v>0</v>
      </c>
      <c r="L1338">
        <v>38</v>
      </c>
    </row>
    <row r="1339" spans="1:12">
      <c r="A1339" s="183" t="s">
        <v>2497</v>
      </c>
      <c r="B1339" s="183" t="s">
        <v>2498</v>
      </c>
      <c r="C1339">
        <v>50232116</v>
      </c>
      <c r="D1339">
        <v>46</v>
      </c>
      <c r="E1339">
        <v>0</v>
      </c>
      <c r="F1339">
        <v>0</v>
      </c>
      <c r="G1339">
        <v>0</v>
      </c>
      <c r="H1339">
        <v>46</v>
      </c>
      <c r="I1339" s="183" t="s">
        <v>1098</v>
      </c>
      <c r="J1339" s="183" t="s">
        <v>12058</v>
      </c>
      <c r="K1339">
        <v>0</v>
      </c>
      <c r="L1339">
        <v>46</v>
      </c>
    </row>
    <row r="1340" spans="1:12">
      <c r="A1340" s="183" t="s">
        <v>2480</v>
      </c>
      <c r="B1340" s="183" t="s">
        <v>2481</v>
      </c>
      <c r="C1340">
        <v>50232202</v>
      </c>
      <c r="D1340">
        <v>48</v>
      </c>
      <c r="E1340">
        <v>0</v>
      </c>
      <c r="F1340">
        <v>0</v>
      </c>
      <c r="G1340">
        <v>0</v>
      </c>
      <c r="H1340">
        <v>48</v>
      </c>
      <c r="I1340" s="183" t="s">
        <v>1098</v>
      </c>
      <c r="J1340" s="183" t="s">
        <v>12056</v>
      </c>
      <c r="K1340">
        <v>0</v>
      </c>
      <c r="L1340">
        <v>48</v>
      </c>
    </row>
    <row r="1341" spans="1:12">
      <c r="A1341" s="183" t="s">
        <v>8394</v>
      </c>
      <c r="B1341" s="183" t="s">
        <v>8395</v>
      </c>
      <c r="C1341">
        <v>50232310</v>
      </c>
      <c r="D1341">
        <v>50</v>
      </c>
      <c r="E1341">
        <v>0</v>
      </c>
      <c r="F1341">
        <v>0</v>
      </c>
      <c r="G1341">
        <v>0</v>
      </c>
      <c r="H1341">
        <v>50</v>
      </c>
      <c r="I1341" s="183" t="s">
        <v>1098</v>
      </c>
      <c r="J1341" s="183" t="s">
        <v>12059</v>
      </c>
      <c r="K1341">
        <v>0</v>
      </c>
      <c r="L1341">
        <v>50</v>
      </c>
    </row>
    <row r="1342" spans="1:12">
      <c r="A1342" s="183" t="s">
        <v>2022</v>
      </c>
      <c r="B1342" s="183" t="s">
        <v>2023</v>
      </c>
      <c r="C1342">
        <v>50232502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1098</v>
      </c>
      <c r="J1342" s="183" t="s">
        <v>12056</v>
      </c>
      <c r="K1342">
        <v>0</v>
      </c>
      <c r="L1342">
        <v>50</v>
      </c>
    </row>
    <row r="1343" spans="1:12">
      <c r="A1343" s="183" t="s">
        <v>1528</v>
      </c>
      <c r="B1343" s="183" t="s">
        <v>1529</v>
      </c>
      <c r="C1343">
        <v>50232516</v>
      </c>
      <c r="D1343">
        <v>35</v>
      </c>
      <c r="E1343">
        <v>0</v>
      </c>
      <c r="F1343">
        <v>0</v>
      </c>
      <c r="G1343">
        <v>0</v>
      </c>
      <c r="H1343">
        <v>35</v>
      </c>
      <c r="I1343" s="183" t="s">
        <v>1098</v>
      </c>
      <c r="J1343" s="183" t="s">
        <v>12056</v>
      </c>
      <c r="K1343">
        <v>0</v>
      </c>
      <c r="L1343">
        <v>35</v>
      </c>
    </row>
    <row r="1344" spans="1:12">
      <c r="A1344" s="183" t="s">
        <v>2032</v>
      </c>
      <c r="B1344" s="183" t="s">
        <v>2033</v>
      </c>
      <c r="C1344">
        <v>50234201</v>
      </c>
      <c r="D1344">
        <v>48</v>
      </c>
      <c r="E1344">
        <v>0</v>
      </c>
      <c r="F1344">
        <v>0</v>
      </c>
      <c r="G1344">
        <v>0</v>
      </c>
      <c r="H1344">
        <v>48</v>
      </c>
      <c r="I1344" s="183" t="s">
        <v>1098</v>
      </c>
      <c r="J1344" s="183" t="s">
        <v>12057</v>
      </c>
      <c r="K1344">
        <v>0</v>
      </c>
      <c r="L1344">
        <v>48</v>
      </c>
    </row>
    <row r="1345" spans="1:12">
      <c r="A1345" s="183" t="s">
        <v>8206</v>
      </c>
      <c r="B1345" s="183" t="s">
        <v>8207</v>
      </c>
      <c r="C1345">
        <v>50234210</v>
      </c>
      <c r="D1345">
        <v>50</v>
      </c>
      <c r="E1345">
        <v>0</v>
      </c>
      <c r="F1345">
        <v>0</v>
      </c>
      <c r="G1345">
        <v>0</v>
      </c>
      <c r="H1345">
        <v>50</v>
      </c>
      <c r="I1345" s="183" t="s">
        <v>1098</v>
      </c>
      <c r="J1345" s="183" t="s">
        <v>12061</v>
      </c>
      <c r="K1345">
        <v>0</v>
      </c>
      <c r="L1345">
        <v>50</v>
      </c>
    </row>
    <row r="1346" spans="1:12">
      <c r="A1346" s="183" t="s">
        <v>8441</v>
      </c>
      <c r="B1346" s="183" t="s">
        <v>8442</v>
      </c>
      <c r="C1346">
        <v>50234310</v>
      </c>
      <c r="D1346">
        <v>40</v>
      </c>
      <c r="E1346">
        <v>0</v>
      </c>
      <c r="F1346">
        <v>0</v>
      </c>
      <c r="G1346">
        <v>0</v>
      </c>
      <c r="H1346">
        <v>40</v>
      </c>
      <c r="I1346" s="183" t="s">
        <v>1098</v>
      </c>
      <c r="J1346" s="183" t="s">
        <v>12061</v>
      </c>
      <c r="K1346">
        <v>0</v>
      </c>
      <c r="L1346">
        <v>40</v>
      </c>
    </row>
    <row r="1347" spans="1:12">
      <c r="A1347" s="183" t="s">
        <v>2198</v>
      </c>
      <c r="B1347" s="183" t="s">
        <v>2199</v>
      </c>
      <c r="C1347">
        <v>50234416</v>
      </c>
      <c r="D1347">
        <v>40</v>
      </c>
      <c r="E1347">
        <v>0</v>
      </c>
      <c r="F1347">
        <v>0</v>
      </c>
      <c r="G1347">
        <v>0</v>
      </c>
      <c r="H1347">
        <v>40</v>
      </c>
      <c r="I1347" s="183" t="s">
        <v>1098</v>
      </c>
      <c r="J1347" s="183" t="s">
        <v>12059</v>
      </c>
      <c r="K1347">
        <v>0</v>
      </c>
      <c r="L1347">
        <v>40</v>
      </c>
    </row>
    <row r="1348" spans="1:12">
      <c r="A1348" s="183" t="s">
        <v>8527</v>
      </c>
      <c r="B1348" s="183" t="s">
        <v>8528</v>
      </c>
      <c r="C1348">
        <v>50236115</v>
      </c>
      <c r="D1348">
        <v>22</v>
      </c>
      <c r="E1348">
        <v>0</v>
      </c>
      <c r="F1348">
        <v>0</v>
      </c>
      <c r="G1348">
        <v>0</v>
      </c>
      <c r="H1348">
        <v>22</v>
      </c>
      <c r="I1348" s="183" t="s">
        <v>1098</v>
      </c>
      <c r="J1348" s="183" t="s">
        <v>12066</v>
      </c>
      <c r="K1348">
        <v>0</v>
      </c>
      <c r="L1348">
        <v>22</v>
      </c>
    </row>
    <row r="1349" spans="1:12">
      <c r="A1349" s="183" t="s">
        <v>1850</v>
      </c>
      <c r="B1349" s="183" t="s">
        <v>1851</v>
      </c>
      <c r="C1349">
        <v>50236217</v>
      </c>
      <c r="D1349">
        <v>75</v>
      </c>
      <c r="E1349">
        <v>0</v>
      </c>
      <c r="F1349">
        <v>0</v>
      </c>
      <c r="G1349">
        <v>0</v>
      </c>
      <c r="H1349">
        <v>75</v>
      </c>
      <c r="I1349" s="183" t="s">
        <v>1098</v>
      </c>
      <c r="J1349" s="183" t="s">
        <v>12050</v>
      </c>
      <c r="K1349">
        <v>0</v>
      </c>
      <c r="L1349">
        <v>75</v>
      </c>
    </row>
    <row r="1350" spans="1:12">
      <c r="A1350" s="183" t="s">
        <v>8288</v>
      </c>
      <c r="B1350" s="183" t="s">
        <v>8289</v>
      </c>
      <c r="C1350">
        <v>50236310</v>
      </c>
      <c r="D1350">
        <v>50</v>
      </c>
      <c r="E1350">
        <v>0</v>
      </c>
      <c r="F1350">
        <v>0</v>
      </c>
      <c r="G1350">
        <v>0</v>
      </c>
      <c r="H1350">
        <v>50</v>
      </c>
      <c r="I1350" s="183" t="s">
        <v>1098</v>
      </c>
      <c r="J1350" s="183" t="s">
        <v>12056</v>
      </c>
      <c r="K1350">
        <v>0</v>
      </c>
      <c r="L1350">
        <v>50</v>
      </c>
    </row>
    <row r="1351" spans="1:12">
      <c r="A1351" s="183" t="s">
        <v>8294</v>
      </c>
      <c r="B1351" s="183" t="s">
        <v>8295</v>
      </c>
      <c r="C1351">
        <v>50236316</v>
      </c>
      <c r="D1351">
        <v>48</v>
      </c>
      <c r="E1351">
        <v>0</v>
      </c>
      <c r="F1351">
        <v>0</v>
      </c>
      <c r="G1351">
        <v>0</v>
      </c>
      <c r="H1351">
        <v>48</v>
      </c>
      <c r="I1351" s="183" t="s">
        <v>1098</v>
      </c>
      <c r="J1351" s="183" t="s">
        <v>12054</v>
      </c>
      <c r="K1351">
        <v>0</v>
      </c>
      <c r="L1351">
        <v>48</v>
      </c>
    </row>
    <row r="1352" spans="1:12">
      <c r="A1352" s="183" t="s">
        <v>2027</v>
      </c>
      <c r="B1352" s="183" t="s">
        <v>2028</v>
      </c>
      <c r="C1352">
        <v>50236415</v>
      </c>
      <c r="D1352">
        <v>39</v>
      </c>
      <c r="E1352">
        <v>0</v>
      </c>
      <c r="F1352">
        <v>0</v>
      </c>
      <c r="G1352">
        <v>0</v>
      </c>
      <c r="H1352">
        <v>39</v>
      </c>
      <c r="I1352" s="183" t="s">
        <v>1098</v>
      </c>
      <c r="J1352" s="183" t="s">
        <v>12055</v>
      </c>
      <c r="K1352">
        <v>0</v>
      </c>
      <c r="L1352">
        <v>39</v>
      </c>
    </row>
    <row r="1353" spans="1:12">
      <c r="A1353" s="183" t="s">
        <v>7234</v>
      </c>
      <c r="B1353" s="183" t="s">
        <v>7235</v>
      </c>
      <c r="C1353">
        <v>50236508</v>
      </c>
      <c r="D1353">
        <v>28</v>
      </c>
      <c r="E1353">
        <v>0</v>
      </c>
      <c r="F1353">
        <v>0</v>
      </c>
      <c r="G1353">
        <v>0</v>
      </c>
      <c r="H1353">
        <v>28</v>
      </c>
      <c r="I1353" s="183" t="s">
        <v>1098</v>
      </c>
      <c r="J1353" s="183" t="s">
        <v>12059</v>
      </c>
      <c r="K1353">
        <v>0</v>
      </c>
      <c r="L1353">
        <v>28</v>
      </c>
    </row>
    <row r="1354" spans="1:12">
      <c r="A1354" s="183" t="s">
        <v>1671</v>
      </c>
      <c r="B1354" s="183" t="s">
        <v>1672</v>
      </c>
      <c r="C1354">
        <v>50238117</v>
      </c>
      <c r="D1354">
        <v>45</v>
      </c>
      <c r="E1354">
        <v>0</v>
      </c>
      <c r="F1354">
        <v>0</v>
      </c>
      <c r="G1354">
        <v>0</v>
      </c>
      <c r="H1354">
        <v>45</v>
      </c>
      <c r="I1354" s="183" t="s">
        <v>1098</v>
      </c>
      <c r="J1354" s="183" t="s">
        <v>12056</v>
      </c>
      <c r="K1354">
        <v>0</v>
      </c>
      <c r="L1354">
        <v>45</v>
      </c>
    </row>
    <row r="1355" spans="1:12">
      <c r="A1355" s="183" t="s">
        <v>6065</v>
      </c>
      <c r="B1355" s="183" t="s">
        <v>6066</v>
      </c>
      <c r="C1355">
        <v>50238208</v>
      </c>
      <c r="D1355">
        <v>32</v>
      </c>
      <c r="E1355">
        <v>0</v>
      </c>
      <c r="F1355">
        <v>0</v>
      </c>
      <c r="G1355">
        <v>0</v>
      </c>
      <c r="H1355">
        <v>32</v>
      </c>
      <c r="I1355" s="183" t="s">
        <v>1098</v>
      </c>
      <c r="J1355" s="183" t="s">
        <v>12056</v>
      </c>
      <c r="K1355">
        <v>0</v>
      </c>
      <c r="L1355">
        <v>32</v>
      </c>
    </row>
    <row r="1356" spans="1:12">
      <c r="A1356" s="183" t="s">
        <v>8529</v>
      </c>
      <c r="B1356" s="183" t="s">
        <v>8530</v>
      </c>
      <c r="C1356">
        <v>50238315</v>
      </c>
      <c r="D1356">
        <v>50</v>
      </c>
      <c r="E1356">
        <v>0</v>
      </c>
      <c r="F1356">
        <v>0</v>
      </c>
      <c r="G1356">
        <v>0</v>
      </c>
      <c r="H1356">
        <v>50</v>
      </c>
      <c r="I1356" s="183" t="s">
        <v>1098</v>
      </c>
      <c r="J1356" s="183" t="s">
        <v>12054</v>
      </c>
      <c r="K1356">
        <v>0</v>
      </c>
      <c r="L1356">
        <v>50</v>
      </c>
    </row>
    <row r="1357" spans="1:12">
      <c r="A1357" s="183" t="s">
        <v>8330</v>
      </c>
      <c r="B1357" s="183" t="s">
        <v>8331</v>
      </c>
      <c r="C1357">
        <v>50240116</v>
      </c>
      <c r="D1357">
        <v>50</v>
      </c>
      <c r="E1357">
        <v>0</v>
      </c>
      <c r="F1357">
        <v>0</v>
      </c>
      <c r="G1357">
        <v>0</v>
      </c>
      <c r="H1357">
        <v>50</v>
      </c>
      <c r="I1357" s="183" t="s">
        <v>1098</v>
      </c>
      <c r="J1357" s="183" t="s">
        <v>12053</v>
      </c>
      <c r="K1357">
        <v>0</v>
      </c>
      <c r="L1357">
        <v>50</v>
      </c>
    </row>
    <row r="1358" spans="1:12">
      <c r="A1358" s="183" t="s">
        <v>2499</v>
      </c>
      <c r="B1358" s="183" t="s">
        <v>2500</v>
      </c>
      <c r="C1358">
        <v>50240415</v>
      </c>
      <c r="D1358">
        <v>74</v>
      </c>
      <c r="E1358">
        <v>0</v>
      </c>
      <c r="F1358">
        <v>0</v>
      </c>
      <c r="G1358">
        <v>0</v>
      </c>
      <c r="H1358">
        <v>74</v>
      </c>
      <c r="I1358" s="183" t="s">
        <v>1098</v>
      </c>
      <c r="J1358" s="183" t="s">
        <v>12055</v>
      </c>
      <c r="K1358">
        <v>0</v>
      </c>
      <c r="L1358">
        <v>74</v>
      </c>
    </row>
    <row r="1359" spans="1:12">
      <c r="A1359" s="183" t="s">
        <v>6825</v>
      </c>
      <c r="B1359" s="183" t="s">
        <v>6826</v>
      </c>
      <c r="C1359">
        <v>37178208</v>
      </c>
      <c r="D1359">
        <v>779</v>
      </c>
      <c r="E1359">
        <v>0</v>
      </c>
      <c r="F1359">
        <v>0</v>
      </c>
      <c r="G1359">
        <v>0</v>
      </c>
      <c r="H1359">
        <v>779</v>
      </c>
      <c r="I1359" s="183" t="s">
        <v>1016</v>
      </c>
      <c r="J1359" s="183" t="s">
        <v>12093</v>
      </c>
      <c r="K1359">
        <v>0</v>
      </c>
      <c r="L1359">
        <v>779</v>
      </c>
    </row>
    <row r="1360" spans="1:12">
      <c r="A1360" s="183" t="s">
        <v>6390</v>
      </c>
      <c r="B1360" s="183" t="s">
        <v>6391</v>
      </c>
      <c r="C1360">
        <v>37178224</v>
      </c>
      <c r="D1360">
        <v>776</v>
      </c>
      <c r="E1360">
        <v>0</v>
      </c>
      <c r="F1360">
        <v>18</v>
      </c>
      <c r="G1360">
        <v>0</v>
      </c>
      <c r="H1360">
        <v>794</v>
      </c>
      <c r="I1360" s="183" t="s">
        <v>1016</v>
      </c>
      <c r="J1360" s="183" t="s">
        <v>12060</v>
      </c>
      <c r="K1360">
        <v>0</v>
      </c>
      <c r="L1360">
        <v>776</v>
      </c>
    </row>
    <row r="1361" spans="1:12">
      <c r="A1361" s="183" t="s">
        <v>6135</v>
      </c>
      <c r="B1361" s="183" t="s">
        <v>6136</v>
      </c>
      <c r="C1361">
        <v>37178234</v>
      </c>
      <c r="D1361">
        <v>189</v>
      </c>
      <c r="E1361">
        <v>0</v>
      </c>
      <c r="F1361">
        <v>0</v>
      </c>
      <c r="G1361">
        <v>0</v>
      </c>
      <c r="H1361">
        <v>189</v>
      </c>
      <c r="I1361" s="183" t="s">
        <v>1016</v>
      </c>
      <c r="J1361" s="183" t="s">
        <v>12092</v>
      </c>
      <c r="K1361">
        <v>0</v>
      </c>
      <c r="L1361">
        <v>189</v>
      </c>
    </row>
    <row r="1362" spans="1:12">
      <c r="A1362" s="183" t="s">
        <v>146</v>
      </c>
      <c r="B1362" s="183" t="s">
        <v>147</v>
      </c>
      <c r="C1362">
        <v>37178238</v>
      </c>
      <c r="D1362" s="501">
        <v>1170</v>
      </c>
      <c r="E1362">
        <v>0</v>
      </c>
      <c r="F1362">
        <v>6</v>
      </c>
      <c r="G1362">
        <v>0</v>
      </c>
      <c r="H1362" s="501">
        <v>1176</v>
      </c>
      <c r="I1362" s="183" t="s">
        <v>1016</v>
      </c>
      <c r="J1362" s="183" t="s">
        <v>12056</v>
      </c>
      <c r="K1362">
        <v>0</v>
      </c>
      <c r="L1362" s="501">
        <v>1170</v>
      </c>
    </row>
    <row r="1363" spans="1:12">
      <c r="A1363" s="183" t="s">
        <v>148</v>
      </c>
      <c r="B1363" s="183" t="s">
        <v>149</v>
      </c>
      <c r="C1363">
        <v>37178242</v>
      </c>
      <c r="D1363" s="501">
        <v>1001</v>
      </c>
      <c r="E1363">
        <v>0</v>
      </c>
      <c r="F1363">
        <v>77</v>
      </c>
      <c r="G1363">
        <v>0</v>
      </c>
      <c r="H1363" s="501">
        <v>1078</v>
      </c>
      <c r="I1363" s="183" t="s">
        <v>1016</v>
      </c>
      <c r="J1363" s="183" t="s">
        <v>12094</v>
      </c>
      <c r="K1363">
        <v>0</v>
      </c>
      <c r="L1363" s="501">
        <v>1001</v>
      </c>
    </row>
    <row r="1364" spans="1:12">
      <c r="A1364" s="183" t="s">
        <v>150</v>
      </c>
      <c r="B1364" s="183" t="s">
        <v>151</v>
      </c>
      <c r="C1364">
        <v>37178244</v>
      </c>
      <c r="D1364">
        <v>589</v>
      </c>
      <c r="E1364">
        <v>0</v>
      </c>
      <c r="F1364">
        <v>28</v>
      </c>
      <c r="G1364">
        <v>0</v>
      </c>
      <c r="H1364">
        <v>617</v>
      </c>
      <c r="I1364" s="183" t="s">
        <v>1016</v>
      </c>
      <c r="J1364" s="183" t="s">
        <v>12052</v>
      </c>
      <c r="K1364">
        <v>0</v>
      </c>
      <c r="L1364">
        <v>589</v>
      </c>
    </row>
    <row r="1365" spans="1:12">
      <c r="A1365" s="183" t="s">
        <v>3981</v>
      </c>
      <c r="B1365" s="183" t="s">
        <v>3978</v>
      </c>
      <c r="C1365">
        <v>8800268998291</v>
      </c>
      <c r="D1365">
        <v>34</v>
      </c>
      <c r="E1365">
        <v>0</v>
      </c>
      <c r="F1365">
        <v>0</v>
      </c>
      <c r="G1365">
        <v>0</v>
      </c>
      <c r="H1365">
        <v>34</v>
      </c>
      <c r="I1365" s="183" t="s">
        <v>3979</v>
      </c>
      <c r="J1365" s="183" t="s">
        <v>12085</v>
      </c>
      <c r="K1365">
        <v>0</v>
      </c>
      <c r="L1365">
        <v>34</v>
      </c>
    </row>
    <row r="1366" spans="1:12">
      <c r="A1366" s="183" t="s">
        <v>4134</v>
      </c>
      <c r="B1366" s="183" t="s">
        <v>3978</v>
      </c>
      <c r="C1366">
        <v>8800268998352</v>
      </c>
      <c r="D1366">
        <v>59</v>
      </c>
      <c r="E1366">
        <v>0</v>
      </c>
      <c r="F1366">
        <v>0</v>
      </c>
      <c r="G1366">
        <v>0</v>
      </c>
      <c r="H1366">
        <v>59</v>
      </c>
      <c r="I1366" s="183" t="s">
        <v>3979</v>
      </c>
      <c r="J1366" s="183" t="s">
        <v>12094</v>
      </c>
      <c r="K1366">
        <v>0</v>
      </c>
      <c r="L1366">
        <v>59</v>
      </c>
    </row>
    <row r="1367" spans="1:12">
      <c r="A1367" s="183" t="s">
        <v>3990</v>
      </c>
      <c r="B1367" s="183" t="s">
        <v>3978</v>
      </c>
      <c r="C1367">
        <v>8800268998383</v>
      </c>
      <c r="D1367">
        <v>49</v>
      </c>
      <c r="E1367">
        <v>0</v>
      </c>
      <c r="F1367">
        <v>0</v>
      </c>
      <c r="G1367">
        <v>0</v>
      </c>
      <c r="H1367">
        <v>49</v>
      </c>
      <c r="I1367" s="183" t="s">
        <v>3979</v>
      </c>
      <c r="J1367" s="183" t="s">
        <v>12066</v>
      </c>
      <c r="K1367">
        <v>0</v>
      </c>
      <c r="L1367">
        <v>49</v>
      </c>
    </row>
    <row r="1368" spans="1:12">
      <c r="A1368" s="183" t="s">
        <v>4257</v>
      </c>
      <c r="B1368" s="183" t="s">
        <v>3978</v>
      </c>
      <c r="C1368">
        <v>8800268998468</v>
      </c>
      <c r="D1368">
        <v>241</v>
      </c>
      <c r="E1368">
        <v>0</v>
      </c>
      <c r="F1368">
        <v>0</v>
      </c>
      <c r="G1368">
        <v>0</v>
      </c>
      <c r="H1368">
        <v>241</v>
      </c>
      <c r="I1368" s="183" t="s">
        <v>3979</v>
      </c>
      <c r="J1368" s="183" t="s">
        <v>12067</v>
      </c>
      <c r="K1368">
        <v>0</v>
      </c>
      <c r="L1368">
        <v>241</v>
      </c>
    </row>
    <row r="1369" spans="1:12">
      <c r="A1369" s="183" t="s">
        <v>4222</v>
      </c>
      <c r="B1369" s="183" t="s">
        <v>3978</v>
      </c>
      <c r="C1369">
        <v>8800268998840</v>
      </c>
      <c r="D1369">
        <v>39</v>
      </c>
      <c r="E1369">
        <v>0</v>
      </c>
      <c r="F1369">
        <v>0</v>
      </c>
      <c r="G1369">
        <v>0</v>
      </c>
      <c r="H1369">
        <v>39</v>
      </c>
      <c r="I1369" s="183" t="s">
        <v>3979</v>
      </c>
      <c r="J1369" s="183" t="s">
        <v>12093</v>
      </c>
      <c r="K1369">
        <v>0</v>
      </c>
      <c r="L1369">
        <v>39</v>
      </c>
    </row>
    <row r="1370" spans="1:12">
      <c r="A1370" s="183" t="s">
        <v>4094</v>
      </c>
      <c r="B1370" s="183" t="s">
        <v>3978</v>
      </c>
      <c r="C1370">
        <v>8800268998901</v>
      </c>
      <c r="D1370">
        <v>16</v>
      </c>
      <c r="E1370">
        <v>0</v>
      </c>
      <c r="F1370">
        <v>0</v>
      </c>
      <c r="G1370">
        <v>0</v>
      </c>
      <c r="H1370">
        <v>16</v>
      </c>
      <c r="I1370" s="183" t="s">
        <v>3979</v>
      </c>
      <c r="J1370" s="183" t="s">
        <v>12081</v>
      </c>
      <c r="K1370">
        <v>0</v>
      </c>
      <c r="L1370">
        <v>16</v>
      </c>
    </row>
    <row r="1371" spans="1:12">
      <c r="A1371" s="183" t="s">
        <v>4462</v>
      </c>
      <c r="B1371" s="183" t="s">
        <v>3978</v>
      </c>
      <c r="C1371">
        <v>8800268998932</v>
      </c>
      <c r="D1371">
        <v>75</v>
      </c>
      <c r="E1371">
        <v>0</v>
      </c>
      <c r="F1371">
        <v>0</v>
      </c>
      <c r="G1371">
        <v>0</v>
      </c>
      <c r="H1371">
        <v>75</v>
      </c>
      <c r="I1371" s="183" t="s">
        <v>3979</v>
      </c>
      <c r="J1371" s="183" t="s">
        <v>12087</v>
      </c>
      <c r="K1371">
        <v>0</v>
      </c>
      <c r="L1371">
        <v>75</v>
      </c>
    </row>
    <row r="1372" spans="1:12">
      <c r="A1372" s="183" t="s">
        <v>4130</v>
      </c>
      <c r="B1372" s="183" t="s">
        <v>3978</v>
      </c>
      <c r="C1372">
        <v>8800268998970</v>
      </c>
      <c r="D1372">
        <v>23</v>
      </c>
      <c r="E1372">
        <v>0</v>
      </c>
      <c r="F1372">
        <v>0</v>
      </c>
      <c r="G1372">
        <v>0</v>
      </c>
      <c r="H1372">
        <v>23</v>
      </c>
      <c r="I1372" s="183" t="s">
        <v>3979</v>
      </c>
      <c r="J1372" s="183" t="s">
        <v>12048</v>
      </c>
      <c r="K1372">
        <v>0</v>
      </c>
      <c r="L1372">
        <v>23</v>
      </c>
    </row>
    <row r="1373" spans="1:12">
      <c r="A1373" s="183" t="s">
        <v>4156</v>
      </c>
      <c r="B1373" s="183" t="s">
        <v>3978</v>
      </c>
      <c r="C1373">
        <v>8800268999007</v>
      </c>
      <c r="D1373">
        <v>36</v>
      </c>
      <c r="E1373">
        <v>0</v>
      </c>
      <c r="F1373">
        <v>0</v>
      </c>
      <c r="G1373">
        <v>0</v>
      </c>
      <c r="H1373">
        <v>36</v>
      </c>
      <c r="I1373" s="183" t="s">
        <v>3979</v>
      </c>
      <c r="J1373" s="183" t="s">
        <v>12087</v>
      </c>
      <c r="K1373">
        <v>0</v>
      </c>
      <c r="L1373">
        <v>36</v>
      </c>
    </row>
    <row r="1374" spans="1:12">
      <c r="A1374" s="183" t="s">
        <v>4258</v>
      </c>
      <c r="B1374" s="183" t="s">
        <v>3978</v>
      </c>
      <c r="C1374">
        <v>8800268999014</v>
      </c>
      <c r="D1374">
        <v>118</v>
      </c>
      <c r="E1374">
        <v>0</v>
      </c>
      <c r="F1374">
        <v>0</v>
      </c>
      <c r="G1374">
        <v>0</v>
      </c>
      <c r="H1374">
        <v>118</v>
      </c>
      <c r="I1374" s="183" t="s">
        <v>3979</v>
      </c>
      <c r="J1374" s="183" t="s">
        <v>12063</v>
      </c>
      <c r="K1374">
        <v>0</v>
      </c>
      <c r="L1374">
        <v>118</v>
      </c>
    </row>
    <row r="1375" spans="1:12">
      <c r="A1375" s="183" t="s">
        <v>4200</v>
      </c>
      <c r="B1375" s="183" t="s">
        <v>3978</v>
      </c>
      <c r="C1375">
        <v>8800268999045</v>
      </c>
      <c r="D1375">
        <v>21</v>
      </c>
      <c r="E1375">
        <v>0</v>
      </c>
      <c r="F1375">
        <v>0</v>
      </c>
      <c r="G1375">
        <v>0</v>
      </c>
      <c r="H1375">
        <v>21</v>
      </c>
      <c r="I1375" s="183" t="s">
        <v>3979</v>
      </c>
      <c r="J1375" s="183" t="s">
        <v>12087</v>
      </c>
      <c r="K1375">
        <v>0</v>
      </c>
      <c r="L1375">
        <v>21</v>
      </c>
    </row>
    <row r="1376" spans="1:12">
      <c r="A1376" s="183" t="s">
        <v>4044</v>
      </c>
      <c r="B1376" s="183" t="s">
        <v>3978</v>
      </c>
      <c r="C1376">
        <v>8800268999052</v>
      </c>
      <c r="D1376">
        <v>6</v>
      </c>
      <c r="E1376">
        <v>0</v>
      </c>
      <c r="F1376">
        <v>0</v>
      </c>
      <c r="G1376">
        <v>0</v>
      </c>
      <c r="H1376">
        <v>6</v>
      </c>
      <c r="I1376" s="183" t="s">
        <v>3979</v>
      </c>
      <c r="J1376" s="183" t="s">
        <v>12094</v>
      </c>
      <c r="K1376">
        <v>0</v>
      </c>
      <c r="L1376">
        <v>6</v>
      </c>
    </row>
    <row r="1377" spans="1:12">
      <c r="A1377" s="183" t="s">
        <v>4003</v>
      </c>
      <c r="B1377" s="183" t="s">
        <v>3978</v>
      </c>
      <c r="C1377">
        <v>8800268999076</v>
      </c>
      <c r="D1377">
        <v>18</v>
      </c>
      <c r="E1377">
        <v>0</v>
      </c>
      <c r="F1377">
        <v>0</v>
      </c>
      <c r="G1377">
        <v>0</v>
      </c>
      <c r="H1377">
        <v>18</v>
      </c>
      <c r="I1377" s="183" t="s">
        <v>3979</v>
      </c>
      <c r="J1377" s="183" t="s">
        <v>12048</v>
      </c>
      <c r="K1377">
        <v>0</v>
      </c>
      <c r="L1377">
        <v>18</v>
      </c>
    </row>
    <row r="1378" spans="1:12">
      <c r="A1378" s="183" t="s">
        <v>4013</v>
      </c>
      <c r="B1378" s="183" t="s">
        <v>3978</v>
      </c>
      <c r="C1378">
        <v>8800268999083</v>
      </c>
      <c r="D1378">
        <v>27</v>
      </c>
      <c r="E1378">
        <v>0</v>
      </c>
      <c r="F1378">
        <v>0</v>
      </c>
      <c r="G1378">
        <v>0</v>
      </c>
      <c r="H1378">
        <v>27</v>
      </c>
      <c r="I1378" s="183" t="s">
        <v>3979</v>
      </c>
      <c r="J1378" s="183" t="s">
        <v>12095</v>
      </c>
      <c r="K1378">
        <v>0</v>
      </c>
      <c r="L1378">
        <v>27</v>
      </c>
    </row>
    <row r="1379" spans="1:12">
      <c r="A1379" s="183" t="s">
        <v>4223</v>
      </c>
      <c r="B1379" s="183" t="s">
        <v>3978</v>
      </c>
      <c r="C1379">
        <v>8800268999144</v>
      </c>
      <c r="D1379">
        <v>45</v>
      </c>
      <c r="E1379">
        <v>0</v>
      </c>
      <c r="F1379">
        <v>0</v>
      </c>
      <c r="G1379">
        <v>0</v>
      </c>
      <c r="H1379">
        <v>45</v>
      </c>
      <c r="I1379" s="183" t="s">
        <v>3979</v>
      </c>
      <c r="J1379" s="183" t="s">
        <v>12048</v>
      </c>
      <c r="K1379">
        <v>0</v>
      </c>
      <c r="L1379">
        <v>45</v>
      </c>
    </row>
    <row r="1380" spans="1:12">
      <c r="A1380" s="183" t="s">
        <v>1490</v>
      </c>
      <c r="B1380" s="183" t="s">
        <v>1491</v>
      </c>
      <c r="C1380">
        <v>50221116</v>
      </c>
      <c r="D1380">
        <v>50</v>
      </c>
      <c r="E1380">
        <v>0</v>
      </c>
      <c r="F1380">
        <v>0</v>
      </c>
      <c r="G1380">
        <v>0</v>
      </c>
      <c r="H1380">
        <v>50</v>
      </c>
      <c r="I1380" s="183" t="s">
        <v>1098</v>
      </c>
      <c r="J1380" s="183" t="s">
        <v>12056</v>
      </c>
      <c r="K1380">
        <v>0</v>
      </c>
      <c r="L1380">
        <v>50</v>
      </c>
    </row>
    <row r="1381" spans="1:12">
      <c r="A1381" s="183" t="s">
        <v>1816</v>
      </c>
      <c r="B1381" s="183" t="s">
        <v>1817</v>
      </c>
      <c r="C1381">
        <v>50221216</v>
      </c>
      <c r="D1381">
        <v>53</v>
      </c>
      <c r="E1381">
        <v>0</v>
      </c>
      <c r="F1381">
        <v>0</v>
      </c>
      <c r="G1381">
        <v>0</v>
      </c>
      <c r="H1381">
        <v>53</v>
      </c>
      <c r="I1381" s="183" t="s">
        <v>1098</v>
      </c>
      <c r="J1381" s="183" t="s">
        <v>12052</v>
      </c>
      <c r="K1381">
        <v>0</v>
      </c>
      <c r="L1381">
        <v>53</v>
      </c>
    </row>
    <row r="1382" spans="1:12">
      <c r="A1382" s="183" t="s">
        <v>2460</v>
      </c>
      <c r="B1382" s="183" t="s">
        <v>2461</v>
      </c>
      <c r="C1382">
        <v>50221302</v>
      </c>
      <c r="D1382">
        <v>40</v>
      </c>
      <c r="E1382">
        <v>0</v>
      </c>
      <c r="F1382">
        <v>0</v>
      </c>
      <c r="G1382">
        <v>0</v>
      </c>
      <c r="H1382">
        <v>40</v>
      </c>
      <c r="I1382" s="183" t="s">
        <v>1098</v>
      </c>
      <c r="J1382" s="183" t="s">
        <v>12060</v>
      </c>
      <c r="K1382">
        <v>0</v>
      </c>
      <c r="L1382">
        <v>40</v>
      </c>
    </row>
    <row r="1383" spans="1:12">
      <c r="A1383" s="183" t="s">
        <v>8408</v>
      </c>
      <c r="B1383" s="183" t="s">
        <v>8409</v>
      </c>
      <c r="C1383">
        <v>50221315</v>
      </c>
      <c r="D1383">
        <v>50</v>
      </c>
      <c r="E1383">
        <v>0</v>
      </c>
      <c r="F1383">
        <v>0</v>
      </c>
      <c r="G1383">
        <v>0</v>
      </c>
      <c r="H1383">
        <v>50</v>
      </c>
      <c r="I1383" s="183" t="s">
        <v>1098</v>
      </c>
      <c r="J1383" s="183" t="s">
        <v>12054</v>
      </c>
      <c r="K1383">
        <v>0</v>
      </c>
      <c r="L1383">
        <v>50</v>
      </c>
    </row>
    <row r="1384" spans="1:12">
      <c r="A1384" s="183" t="s">
        <v>1488</v>
      </c>
      <c r="B1384" s="183" t="s">
        <v>1489</v>
      </c>
      <c r="C1384">
        <v>50222115</v>
      </c>
      <c r="D1384">
        <v>36</v>
      </c>
      <c r="E1384">
        <v>0</v>
      </c>
      <c r="F1384">
        <v>0</v>
      </c>
      <c r="G1384">
        <v>0</v>
      </c>
      <c r="H1384">
        <v>36</v>
      </c>
      <c r="I1384" s="183" t="s">
        <v>1098</v>
      </c>
      <c r="J1384" s="183" t="s">
        <v>12057</v>
      </c>
      <c r="K1384">
        <v>0</v>
      </c>
      <c r="L1384">
        <v>36</v>
      </c>
    </row>
    <row r="1385" spans="1:12">
      <c r="A1385" s="183" t="s">
        <v>2680</v>
      </c>
      <c r="B1385" s="183" t="s">
        <v>2681</v>
      </c>
      <c r="C1385">
        <v>50222215</v>
      </c>
      <c r="D1385">
        <v>49</v>
      </c>
      <c r="E1385">
        <v>0</v>
      </c>
      <c r="F1385">
        <v>0</v>
      </c>
      <c r="G1385">
        <v>0</v>
      </c>
      <c r="H1385">
        <v>49</v>
      </c>
      <c r="I1385" s="183" t="s">
        <v>1098</v>
      </c>
      <c r="J1385" s="183" t="s">
        <v>12054</v>
      </c>
      <c r="K1385">
        <v>0</v>
      </c>
      <c r="L1385">
        <v>49</v>
      </c>
    </row>
    <row r="1386" spans="1:12">
      <c r="A1386" s="183" t="s">
        <v>2157</v>
      </c>
      <c r="B1386" s="183" t="s">
        <v>2158</v>
      </c>
      <c r="C1386">
        <v>50222308</v>
      </c>
      <c r="D1386">
        <v>50</v>
      </c>
      <c r="E1386">
        <v>0</v>
      </c>
      <c r="F1386">
        <v>0</v>
      </c>
      <c r="G1386">
        <v>0</v>
      </c>
      <c r="H1386">
        <v>50</v>
      </c>
      <c r="I1386" s="183" t="s">
        <v>1098</v>
      </c>
      <c r="J1386" s="183" t="s">
        <v>12054</v>
      </c>
      <c r="K1386">
        <v>0</v>
      </c>
      <c r="L1386">
        <v>50</v>
      </c>
    </row>
    <row r="1387" spans="1:12">
      <c r="A1387" s="183" t="s">
        <v>8198</v>
      </c>
      <c r="B1387" s="183" t="s">
        <v>8199</v>
      </c>
      <c r="C1387">
        <v>50222310</v>
      </c>
      <c r="D1387">
        <v>50</v>
      </c>
      <c r="E1387">
        <v>0</v>
      </c>
      <c r="F1387">
        <v>0</v>
      </c>
      <c r="G1387">
        <v>0</v>
      </c>
      <c r="H1387">
        <v>50</v>
      </c>
      <c r="I1387" s="183" t="s">
        <v>1098</v>
      </c>
      <c r="J1387" s="183" t="s">
        <v>12059</v>
      </c>
      <c r="K1387">
        <v>0</v>
      </c>
      <c r="L1387">
        <v>50</v>
      </c>
    </row>
    <row r="1388" spans="1:12">
      <c r="A1388" s="183" t="s">
        <v>1649</v>
      </c>
      <c r="B1388" s="183" t="s">
        <v>1650</v>
      </c>
      <c r="C1388">
        <v>50223101</v>
      </c>
      <c r="D1388">
        <v>92</v>
      </c>
      <c r="E1388">
        <v>0</v>
      </c>
      <c r="F1388">
        <v>0</v>
      </c>
      <c r="G1388">
        <v>0</v>
      </c>
      <c r="H1388">
        <v>92</v>
      </c>
      <c r="I1388" s="183" t="s">
        <v>1098</v>
      </c>
      <c r="J1388" s="183" t="s">
        <v>12054</v>
      </c>
      <c r="K1388">
        <v>0</v>
      </c>
      <c r="L1388">
        <v>92</v>
      </c>
    </row>
    <row r="1389" spans="1:12">
      <c r="A1389" s="183" t="s">
        <v>6962</v>
      </c>
      <c r="B1389" s="183" t="s">
        <v>6963</v>
      </c>
      <c r="C1389">
        <v>50223102</v>
      </c>
      <c r="D1389">
        <v>15</v>
      </c>
      <c r="E1389">
        <v>0</v>
      </c>
      <c r="F1389">
        <v>0</v>
      </c>
      <c r="G1389">
        <v>0</v>
      </c>
      <c r="H1389">
        <v>15</v>
      </c>
      <c r="I1389" s="183" t="s">
        <v>1098</v>
      </c>
      <c r="J1389" s="183" t="s">
        <v>12061</v>
      </c>
      <c r="K1389">
        <v>0</v>
      </c>
      <c r="L1389">
        <v>15</v>
      </c>
    </row>
    <row r="1390" spans="1:12">
      <c r="A1390" s="183" t="s">
        <v>1812</v>
      </c>
      <c r="B1390" s="183" t="s">
        <v>1813</v>
      </c>
      <c r="C1390">
        <v>50223110</v>
      </c>
      <c r="D1390">
        <v>50</v>
      </c>
      <c r="E1390">
        <v>0</v>
      </c>
      <c r="F1390">
        <v>0</v>
      </c>
      <c r="G1390">
        <v>0</v>
      </c>
      <c r="H1390">
        <v>50</v>
      </c>
      <c r="I1390" s="183" t="s">
        <v>1098</v>
      </c>
      <c r="J1390" s="183" t="s">
        <v>12054</v>
      </c>
      <c r="K1390">
        <v>0</v>
      </c>
      <c r="L1390">
        <v>50</v>
      </c>
    </row>
    <row r="1391" spans="1:12">
      <c r="A1391" s="183" t="s">
        <v>7106</v>
      </c>
      <c r="B1391" s="183" t="s">
        <v>7107</v>
      </c>
      <c r="C1391">
        <v>50223303</v>
      </c>
      <c r="D1391">
        <v>14</v>
      </c>
      <c r="E1391">
        <v>0</v>
      </c>
      <c r="F1391">
        <v>0</v>
      </c>
      <c r="G1391">
        <v>0</v>
      </c>
      <c r="H1391">
        <v>14</v>
      </c>
      <c r="I1391" s="183" t="s">
        <v>1098</v>
      </c>
      <c r="J1391" s="183" t="s">
        <v>12056</v>
      </c>
      <c r="K1391">
        <v>0</v>
      </c>
      <c r="L1391">
        <v>14</v>
      </c>
    </row>
    <row r="1392" spans="1:12">
      <c r="A1392" s="183" t="s">
        <v>1992</v>
      </c>
      <c r="B1392" s="183" t="s">
        <v>1993</v>
      </c>
      <c r="C1392">
        <v>50224117</v>
      </c>
      <c r="D1392">
        <v>14</v>
      </c>
      <c r="E1392">
        <v>0</v>
      </c>
      <c r="F1392">
        <v>0</v>
      </c>
      <c r="G1392">
        <v>0</v>
      </c>
      <c r="H1392">
        <v>14</v>
      </c>
      <c r="I1392" s="183" t="s">
        <v>1098</v>
      </c>
      <c r="J1392" s="183" t="s">
        <v>12059</v>
      </c>
      <c r="K1392">
        <v>0</v>
      </c>
      <c r="L1392">
        <v>14</v>
      </c>
    </row>
    <row r="1393" spans="1:12">
      <c r="A1393" s="183" t="s">
        <v>1654</v>
      </c>
      <c r="B1393" s="183" t="s">
        <v>1655</v>
      </c>
      <c r="C1393">
        <v>50224302</v>
      </c>
      <c r="D1393">
        <v>38</v>
      </c>
      <c r="E1393">
        <v>0</v>
      </c>
      <c r="F1393">
        <v>0</v>
      </c>
      <c r="G1393">
        <v>0</v>
      </c>
      <c r="H1393">
        <v>38</v>
      </c>
      <c r="I1393" s="183" t="s">
        <v>1098</v>
      </c>
      <c r="J1393" s="183" t="s">
        <v>12060</v>
      </c>
      <c r="K1393">
        <v>0</v>
      </c>
      <c r="L1393">
        <v>38</v>
      </c>
    </row>
    <row r="1394" spans="1:12">
      <c r="A1394" s="183" t="s">
        <v>7197</v>
      </c>
      <c r="B1394" s="183" t="s">
        <v>7198</v>
      </c>
      <c r="C1394">
        <v>50224510</v>
      </c>
      <c r="D1394">
        <v>11</v>
      </c>
      <c r="E1394">
        <v>0</v>
      </c>
      <c r="F1394">
        <v>0</v>
      </c>
      <c r="G1394">
        <v>0</v>
      </c>
      <c r="H1394">
        <v>11</v>
      </c>
      <c r="I1394" s="183" t="s">
        <v>1098</v>
      </c>
      <c r="J1394" s="183" t="s">
        <v>12056</v>
      </c>
      <c r="K1394">
        <v>0</v>
      </c>
      <c r="L1394">
        <v>11</v>
      </c>
    </row>
    <row r="1395" spans="1:12">
      <c r="A1395" s="183" t="s">
        <v>2473</v>
      </c>
      <c r="B1395" s="183" t="s">
        <v>2474</v>
      </c>
      <c r="C1395">
        <v>50228108</v>
      </c>
      <c r="D1395">
        <v>92</v>
      </c>
      <c r="E1395">
        <v>0</v>
      </c>
      <c r="F1395">
        <v>0</v>
      </c>
      <c r="G1395">
        <v>0</v>
      </c>
      <c r="H1395">
        <v>92</v>
      </c>
      <c r="I1395" s="183" t="s">
        <v>1098</v>
      </c>
      <c r="J1395" s="183" t="s">
        <v>12060</v>
      </c>
      <c r="K1395">
        <v>0</v>
      </c>
      <c r="L1395">
        <v>92</v>
      </c>
    </row>
    <row r="1396" spans="1:12">
      <c r="A1396" s="183" t="s">
        <v>8348</v>
      </c>
      <c r="B1396" s="183" t="s">
        <v>8349</v>
      </c>
      <c r="C1396">
        <v>50228216</v>
      </c>
      <c r="D1396">
        <v>43</v>
      </c>
      <c r="E1396">
        <v>0</v>
      </c>
      <c r="F1396">
        <v>0</v>
      </c>
      <c r="G1396">
        <v>0</v>
      </c>
      <c r="H1396">
        <v>43</v>
      </c>
      <c r="I1396" s="183" t="s">
        <v>1098</v>
      </c>
      <c r="J1396" s="183" t="s">
        <v>12060</v>
      </c>
      <c r="K1396">
        <v>0</v>
      </c>
      <c r="L1396">
        <v>43</v>
      </c>
    </row>
    <row r="1397" spans="1:12">
      <c r="A1397" s="183" t="s">
        <v>8244</v>
      </c>
      <c r="B1397" s="183" t="s">
        <v>8245</v>
      </c>
      <c r="C1397">
        <v>50228310</v>
      </c>
      <c r="D1397">
        <v>50</v>
      </c>
      <c r="E1397">
        <v>0</v>
      </c>
      <c r="F1397">
        <v>0</v>
      </c>
      <c r="G1397">
        <v>0</v>
      </c>
      <c r="H1397">
        <v>50</v>
      </c>
      <c r="I1397" s="183" t="s">
        <v>1098</v>
      </c>
      <c r="J1397" s="183" t="s">
        <v>12052</v>
      </c>
      <c r="K1397">
        <v>0</v>
      </c>
      <c r="L1397">
        <v>50</v>
      </c>
    </row>
    <row r="1398" spans="1:12">
      <c r="A1398" s="183" t="s">
        <v>8312</v>
      </c>
      <c r="B1398" s="183" t="s">
        <v>8313</v>
      </c>
      <c r="C1398">
        <v>50228316</v>
      </c>
      <c r="D1398">
        <v>66</v>
      </c>
      <c r="E1398">
        <v>0</v>
      </c>
      <c r="F1398">
        <v>0</v>
      </c>
      <c r="G1398">
        <v>0</v>
      </c>
      <c r="H1398">
        <v>66</v>
      </c>
      <c r="I1398" s="183" t="s">
        <v>1098</v>
      </c>
      <c r="J1398" s="183" t="s">
        <v>12056</v>
      </c>
      <c r="K1398">
        <v>0</v>
      </c>
      <c r="L1398">
        <v>66</v>
      </c>
    </row>
    <row r="1399" spans="1:12">
      <c r="A1399" s="183" t="s">
        <v>2682</v>
      </c>
      <c r="B1399" s="183" t="s">
        <v>2683</v>
      </c>
      <c r="C1399">
        <v>50230102</v>
      </c>
      <c r="D1399">
        <v>62</v>
      </c>
      <c r="E1399">
        <v>0</v>
      </c>
      <c r="F1399">
        <v>0</v>
      </c>
      <c r="G1399">
        <v>0</v>
      </c>
      <c r="H1399">
        <v>62</v>
      </c>
      <c r="I1399" s="183" t="s">
        <v>1098</v>
      </c>
      <c r="J1399" s="183" t="s">
        <v>12060</v>
      </c>
      <c r="K1399">
        <v>0</v>
      </c>
      <c r="L1399">
        <v>62</v>
      </c>
    </row>
    <row r="1400" spans="1:12">
      <c r="A1400" s="183" t="s">
        <v>2475</v>
      </c>
      <c r="B1400" s="183" t="s">
        <v>2476</v>
      </c>
      <c r="C1400">
        <v>50230202</v>
      </c>
      <c r="D1400">
        <v>43</v>
      </c>
      <c r="E1400">
        <v>0</v>
      </c>
      <c r="F1400">
        <v>0</v>
      </c>
      <c r="G1400">
        <v>0</v>
      </c>
      <c r="H1400">
        <v>43</v>
      </c>
      <c r="I1400" s="183" t="s">
        <v>1098</v>
      </c>
      <c r="J1400" s="183" t="s">
        <v>12058</v>
      </c>
      <c r="K1400">
        <v>0</v>
      </c>
      <c r="L1400">
        <v>43</v>
      </c>
    </row>
    <row r="1401" spans="1:12">
      <c r="A1401" s="183" t="s">
        <v>2470</v>
      </c>
      <c r="B1401" s="183" t="s">
        <v>2471</v>
      </c>
      <c r="C1401">
        <v>50230301</v>
      </c>
      <c r="D1401">
        <v>56</v>
      </c>
      <c r="E1401">
        <v>0</v>
      </c>
      <c r="F1401">
        <v>0</v>
      </c>
      <c r="G1401">
        <v>0</v>
      </c>
      <c r="H1401">
        <v>56</v>
      </c>
      <c r="I1401" s="183" t="s">
        <v>1098</v>
      </c>
      <c r="J1401" s="183" t="s">
        <v>12066</v>
      </c>
      <c r="K1401">
        <v>0</v>
      </c>
      <c r="L1401">
        <v>56</v>
      </c>
    </row>
    <row r="1402" spans="1:12">
      <c r="A1402" s="183" t="s">
        <v>1824</v>
      </c>
      <c r="B1402" s="183" t="s">
        <v>1825</v>
      </c>
      <c r="C1402">
        <v>50230415</v>
      </c>
      <c r="D1402">
        <v>50</v>
      </c>
      <c r="E1402">
        <v>0</v>
      </c>
      <c r="F1402">
        <v>0</v>
      </c>
      <c r="G1402">
        <v>0</v>
      </c>
      <c r="H1402">
        <v>50</v>
      </c>
      <c r="I1402" s="183" t="s">
        <v>1098</v>
      </c>
      <c r="J1402" s="183" t="s">
        <v>12050</v>
      </c>
      <c r="K1402">
        <v>0</v>
      </c>
      <c r="L1402">
        <v>50</v>
      </c>
    </row>
    <row r="1403" spans="1:12">
      <c r="A1403" s="183" t="s">
        <v>8451</v>
      </c>
      <c r="B1403" s="183" t="s">
        <v>8452</v>
      </c>
      <c r="C1403">
        <v>50234316</v>
      </c>
      <c r="D1403">
        <v>49</v>
      </c>
      <c r="E1403">
        <v>0</v>
      </c>
      <c r="F1403">
        <v>0</v>
      </c>
      <c r="G1403">
        <v>0</v>
      </c>
      <c r="H1403">
        <v>49</v>
      </c>
      <c r="I1403" s="183" t="s">
        <v>1098</v>
      </c>
      <c r="J1403" s="183" t="s">
        <v>12059</v>
      </c>
      <c r="K1403">
        <v>0</v>
      </c>
      <c r="L1403">
        <v>49</v>
      </c>
    </row>
    <row r="1404" spans="1:12">
      <c r="A1404" s="183" t="s">
        <v>1492</v>
      </c>
      <c r="B1404" s="183" t="s">
        <v>1493</v>
      </c>
      <c r="C1404">
        <v>50234415</v>
      </c>
      <c r="D1404">
        <v>50</v>
      </c>
      <c r="E1404">
        <v>0</v>
      </c>
      <c r="F1404">
        <v>0</v>
      </c>
      <c r="G1404">
        <v>0</v>
      </c>
      <c r="H1404">
        <v>50</v>
      </c>
      <c r="I1404" s="183" t="s">
        <v>1098</v>
      </c>
      <c r="J1404" s="183" t="s">
        <v>12058</v>
      </c>
      <c r="K1404">
        <v>0</v>
      </c>
      <c r="L1404">
        <v>50</v>
      </c>
    </row>
    <row r="1405" spans="1:12">
      <c r="A1405" s="183" t="s">
        <v>1486</v>
      </c>
      <c r="B1405" s="183" t="s">
        <v>1487</v>
      </c>
      <c r="C1405">
        <v>50234515</v>
      </c>
      <c r="D1405">
        <v>50</v>
      </c>
      <c r="E1405">
        <v>0</v>
      </c>
      <c r="F1405">
        <v>0</v>
      </c>
      <c r="G1405">
        <v>0</v>
      </c>
      <c r="H1405">
        <v>50</v>
      </c>
      <c r="I1405" s="183" t="s">
        <v>1098</v>
      </c>
      <c r="J1405" s="183" t="s">
        <v>12056</v>
      </c>
      <c r="K1405">
        <v>0</v>
      </c>
      <c r="L1405">
        <v>50</v>
      </c>
    </row>
    <row r="1406" spans="1:12">
      <c r="A1406" s="183" t="s">
        <v>6928</v>
      </c>
      <c r="B1406" s="183" t="s">
        <v>6929</v>
      </c>
      <c r="C1406">
        <v>50236102</v>
      </c>
      <c r="D1406">
        <v>42</v>
      </c>
      <c r="E1406">
        <v>0</v>
      </c>
      <c r="F1406">
        <v>0</v>
      </c>
      <c r="G1406">
        <v>0</v>
      </c>
      <c r="H1406">
        <v>42</v>
      </c>
      <c r="I1406" s="183" t="s">
        <v>1098</v>
      </c>
      <c r="J1406" s="183" t="s">
        <v>12061</v>
      </c>
      <c r="K1406">
        <v>0</v>
      </c>
      <c r="L1406">
        <v>42</v>
      </c>
    </row>
    <row r="1407" spans="1:12">
      <c r="A1407" s="183" t="s">
        <v>8314</v>
      </c>
      <c r="B1407" s="183" t="s">
        <v>8315</v>
      </c>
      <c r="C1407">
        <v>50236110</v>
      </c>
      <c r="D1407">
        <v>50</v>
      </c>
      <c r="E1407">
        <v>0</v>
      </c>
      <c r="F1407">
        <v>0</v>
      </c>
      <c r="G1407">
        <v>0</v>
      </c>
      <c r="H1407">
        <v>50</v>
      </c>
      <c r="I1407" s="183" t="s">
        <v>1098</v>
      </c>
      <c r="J1407" s="183" t="s">
        <v>12052</v>
      </c>
      <c r="K1407">
        <v>0</v>
      </c>
      <c r="L1407">
        <v>50</v>
      </c>
    </row>
    <row r="1408" spans="1:12">
      <c r="A1408" s="183" t="s">
        <v>8410</v>
      </c>
      <c r="B1408" s="183" t="s">
        <v>8411</v>
      </c>
      <c r="C1408">
        <v>50236315</v>
      </c>
      <c r="D1408">
        <v>49</v>
      </c>
      <c r="E1408">
        <v>0</v>
      </c>
      <c r="F1408">
        <v>0</v>
      </c>
      <c r="G1408">
        <v>0</v>
      </c>
      <c r="H1408">
        <v>49</v>
      </c>
      <c r="I1408" s="183" t="s">
        <v>1098</v>
      </c>
      <c r="J1408" s="183" t="s">
        <v>12063</v>
      </c>
      <c r="K1408">
        <v>0</v>
      </c>
      <c r="L1408">
        <v>49</v>
      </c>
    </row>
    <row r="1409" spans="1:12">
      <c r="A1409" s="183" t="s">
        <v>6387</v>
      </c>
      <c r="B1409" s="183" t="s">
        <v>6388</v>
      </c>
      <c r="C1409">
        <v>50236416</v>
      </c>
      <c r="D1409">
        <v>86</v>
      </c>
      <c r="E1409">
        <v>0</v>
      </c>
      <c r="F1409">
        <v>0</v>
      </c>
      <c r="G1409">
        <v>0</v>
      </c>
      <c r="H1409">
        <v>86</v>
      </c>
      <c r="I1409" s="183" t="s">
        <v>1098</v>
      </c>
      <c r="J1409" s="183" t="s">
        <v>12053</v>
      </c>
      <c r="K1409">
        <v>0</v>
      </c>
      <c r="L1409">
        <v>86</v>
      </c>
    </row>
    <row r="1410" spans="1:12">
      <c r="A1410" s="183" t="s">
        <v>1511</v>
      </c>
      <c r="B1410" s="183" t="s">
        <v>1512</v>
      </c>
      <c r="C1410">
        <v>50238101</v>
      </c>
      <c r="D1410">
        <v>48</v>
      </c>
      <c r="E1410">
        <v>0</v>
      </c>
      <c r="F1410">
        <v>0</v>
      </c>
      <c r="G1410">
        <v>0</v>
      </c>
      <c r="H1410">
        <v>48</v>
      </c>
      <c r="I1410" s="183" t="s">
        <v>1098</v>
      </c>
      <c r="J1410" s="183" t="s">
        <v>12052</v>
      </c>
      <c r="K1410">
        <v>0</v>
      </c>
      <c r="L1410">
        <v>48</v>
      </c>
    </row>
    <row r="1411" spans="1:12">
      <c r="A1411" s="183" t="s">
        <v>4617</v>
      </c>
      <c r="B1411" s="183" t="s">
        <v>4618</v>
      </c>
      <c r="C1411">
        <v>50238303</v>
      </c>
      <c r="D1411">
        <v>49</v>
      </c>
      <c r="E1411">
        <v>0</v>
      </c>
      <c r="F1411">
        <v>0</v>
      </c>
      <c r="G1411">
        <v>0</v>
      </c>
      <c r="H1411">
        <v>49</v>
      </c>
      <c r="I1411" s="183" t="s">
        <v>1098</v>
      </c>
      <c r="J1411" s="183" t="s">
        <v>12050</v>
      </c>
      <c r="K1411">
        <v>0</v>
      </c>
      <c r="L1411">
        <v>49</v>
      </c>
    </row>
    <row r="1412" spans="1:12">
      <c r="A1412" s="183" t="s">
        <v>11859</v>
      </c>
      <c r="B1412" s="183" t="s">
        <v>11860</v>
      </c>
      <c r="C1412">
        <v>50238308</v>
      </c>
      <c r="D1412">
        <v>59</v>
      </c>
      <c r="E1412">
        <v>0</v>
      </c>
      <c r="F1412">
        <v>0</v>
      </c>
      <c r="G1412">
        <v>0</v>
      </c>
      <c r="H1412">
        <v>59</v>
      </c>
      <c r="I1412" s="183" t="s">
        <v>1098</v>
      </c>
      <c r="J1412" s="183" t="s">
        <v>12055</v>
      </c>
      <c r="K1412">
        <v>0</v>
      </c>
      <c r="L1412">
        <v>59</v>
      </c>
    </row>
    <row r="1413" spans="1:12">
      <c r="A1413" s="183" t="s">
        <v>7070</v>
      </c>
      <c r="B1413" s="183" t="s">
        <v>7071</v>
      </c>
      <c r="C1413">
        <v>50238310</v>
      </c>
      <c r="D1413">
        <v>29</v>
      </c>
      <c r="E1413">
        <v>0</v>
      </c>
      <c r="F1413">
        <v>0</v>
      </c>
      <c r="G1413">
        <v>0</v>
      </c>
      <c r="H1413">
        <v>29</v>
      </c>
      <c r="I1413" s="183" t="s">
        <v>1098</v>
      </c>
      <c r="J1413" s="183" t="s">
        <v>12050</v>
      </c>
      <c r="K1413">
        <v>0</v>
      </c>
      <c r="L1413">
        <v>29</v>
      </c>
    </row>
    <row r="1414" spans="1:12">
      <c r="A1414" s="183" t="s">
        <v>8376</v>
      </c>
      <c r="B1414" s="183" t="s">
        <v>8377</v>
      </c>
      <c r="C1414">
        <v>50238316</v>
      </c>
      <c r="D1414">
        <v>50</v>
      </c>
      <c r="E1414">
        <v>0</v>
      </c>
      <c r="F1414">
        <v>0</v>
      </c>
      <c r="G1414">
        <v>0</v>
      </c>
      <c r="H1414">
        <v>50</v>
      </c>
      <c r="I1414" s="183" t="s">
        <v>1098</v>
      </c>
      <c r="J1414" s="183" t="s">
        <v>12060</v>
      </c>
      <c r="K1414">
        <v>0</v>
      </c>
      <c r="L1414">
        <v>50</v>
      </c>
    </row>
    <row r="1415" spans="1:12">
      <c r="A1415" s="183" t="s">
        <v>8344</v>
      </c>
      <c r="B1415" s="183" t="s">
        <v>8345</v>
      </c>
      <c r="C1415">
        <v>50238517</v>
      </c>
      <c r="D1415">
        <v>49</v>
      </c>
      <c r="E1415">
        <v>0</v>
      </c>
      <c r="F1415">
        <v>0</v>
      </c>
      <c r="G1415">
        <v>0</v>
      </c>
      <c r="H1415">
        <v>49</v>
      </c>
      <c r="I1415" s="183" t="s">
        <v>1098</v>
      </c>
      <c r="J1415" s="183" t="s">
        <v>12057</v>
      </c>
      <c r="K1415">
        <v>0</v>
      </c>
      <c r="L1415">
        <v>49</v>
      </c>
    </row>
    <row r="1416" spans="1:12">
      <c r="A1416" s="183" t="s">
        <v>2308</v>
      </c>
      <c r="B1416" s="183" t="s">
        <v>2309</v>
      </c>
      <c r="C1416">
        <v>50240115</v>
      </c>
      <c r="D1416">
        <v>85</v>
      </c>
      <c r="E1416">
        <v>0</v>
      </c>
      <c r="F1416">
        <v>0</v>
      </c>
      <c r="G1416">
        <v>0</v>
      </c>
      <c r="H1416">
        <v>85</v>
      </c>
      <c r="I1416" s="183" t="s">
        <v>1098</v>
      </c>
      <c r="J1416" s="183" t="s">
        <v>12058</v>
      </c>
      <c r="K1416">
        <v>0</v>
      </c>
      <c r="L1416">
        <v>85</v>
      </c>
    </row>
    <row r="1417" spans="1:12">
      <c r="A1417" s="183" t="s">
        <v>1503</v>
      </c>
      <c r="B1417" s="183" t="s">
        <v>1504</v>
      </c>
      <c r="C1417">
        <v>50240403</v>
      </c>
      <c r="D1417">
        <v>50</v>
      </c>
      <c r="E1417">
        <v>0</v>
      </c>
      <c r="F1417">
        <v>0</v>
      </c>
      <c r="G1417">
        <v>0</v>
      </c>
      <c r="H1417">
        <v>50</v>
      </c>
      <c r="I1417" s="183" t="s">
        <v>1098</v>
      </c>
      <c r="J1417" s="183" t="s">
        <v>12050</v>
      </c>
      <c r="K1417">
        <v>0</v>
      </c>
      <c r="L1417">
        <v>50</v>
      </c>
    </row>
    <row r="1418" spans="1:12">
      <c r="A1418" s="183" t="s">
        <v>7524</v>
      </c>
      <c r="B1418" s="183" t="s">
        <v>7525</v>
      </c>
      <c r="C1418">
        <v>50240416</v>
      </c>
      <c r="D1418">
        <v>10</v>
      </c>
      <c r="E1418">
        <v>0</v>
      </c>
      <c r="F1418">
        <v>0</v>
      </c>
      <c r="G1418">
        <v>0</v>
      </c>
      <c r="H1418">
        <v>10</v>
      </c>
      <c r="I1418" s="183" t="s">
        <v>1098</v>
      </c>
      <c r="J1418" s="183" t="s">
        <v>12060</v>
      </c>
      <c r="K1418">
        <v>0</v>
      </c>
      <c r="L1418">
        <v>10</v>
      </c>
    </row>
    <row r="1419" spans="1:12">
      <c r="A1419" s="183" t="s">
        <v>140</v>
      </c>
      <c r="B1419" s="183" t="s">
        <v>141</v>
      </c>
      <c r="C1419">
        <v>37178202</v>
      </c>
      <c r="D1419">
        <v>429</v>
      </c>
      <c r="E1419">
        <v>0</v>
      </c>
      <c r="F1419">
        <v>2</v>
      </c>
      <c r="G1419">
        <v>0</v>
      </c>
      <c r="H1419">
        <v>431</v>
      </c>
      <c r="I1419" s="183" t="s">
        <v>1016</v>
      </c>
      <c r="J1419" s="183" t="s">
        <v>12057</v>
      </c>
      <c r="K1419">
        <v>0</v>
      </c>
      <c r="L1419">
        <v>429</v>
      </c>
    </row>
    <row r="1420" spans="1:12">
      <c r="A1420" s="183" t="s">
        <v>6385</v>
      </c>
      <c r="B1420" s="183" t="s">
        <v>6386</v>
      </c>
      <c r="C1420">
        <v>37178211</v>
      </c>
      <c r="D1420" s="501">
        <v>1165</v>
      </c>
      <c r="E1420">
        <v>0</v>
      </c>
      <c r="F1420">
        <v>3</v>
      </c>
      <c r="G1420">
        <v>0</v>
      </c>
      <c r="H1420" s="501">
        <v>1168</v>
      </c>
      <c r="I1420" s="183" t="s">
        <v>1016</v>
      </c>
      <c r="J1420" s="183" t="s">
        <v>12091</v>
      </c>
      <c r="K1420">
        <v>0</v>
      </c>
      <c r="L1420" s="501">
        <v>1165</v>
      </c>
    </row>
    <row r="1421" spans="1:12">
      <c r="A1421" s="183" t="s">
        <v>6815</v>
      </c>
      <c r="B1421" s="183" t="s">
        <v>6816</v>
      </c>
      <c r="C1421">
        <v>37178216</v>
      </c>
      <c r="D1421" s="501">
        <v>1125</v>
      </c>
      <c r="E1421">
        <v>0</v>
      </c>
      <c r="F1421">
        <v>0</v>
      </c>
      <c r="G1421">
        <v>0</v>
      </c>
      <c r="H1421" s="501">
        <v>1125</v>
      </c>
      <c r="I1421" s="183" t="s">
        <v>1016</v>
      </c>
      <c r="J1421" s="183" t="s">
        <v>12066</v>
      </c>
      <c r="K1421">
        <v>0</v>
      </c>
      <c r="L1421" s="501">
        <v>1125</v>
      </c>
    </row>
    <row r="1422" spans="1:12">
      <c r="A1422" s="183" t="s">
        <v>6383</v>
      </c>
      <c r="B1422" s="183" t="s">
        <v>6384</v>
      </c>
      <c r="C1422">
        <v>37178218</v>
      </c>
      <c r="D1422" s="501">
        <v>1121</v>
      </c>
      <c r="E1422">
        <v>0</v>
      </c>
      <c r="F1422">
        <v>0</v>
      </c>
      <c r="G1422">
        <v>0</v>
      </c>
      <c r="H1422" s="501">
        <v>1121</v>
      </c>
      <c r="I1422" s="183" t="s">
        <v>1016</v>
      </c>
      <c r="J1422" s="183" t="s">
        <v>12058</v>
      </c>
      <c r="K1422">
        <v>0</v>
      </c>
      <c r="L1422" s="501">
        <v>1121</v>
      </c>
    </row>
    <row r="1423" spans="1:12">
      <c r="A1423" s="183" t="s">
        <v>690</v>
      </c>
      <c r="B1423" s="183" t="s">
        <v>684</v>
      </c>
      <c r="C1423">
        <v>37178230</v>
      </c>
      <c r="D1423" s="501">
        <v>1234</v>
      </c>
      <c r="E1423">
        <v>0</v>
      </c>
      <c r="F1423">
        <v>2</v>
      </c>
      <c r="G1423">
        <v>0</v>
      </c>
      <c r="H1423" s="501">
        <v>1236</v>
      </c>
      <c r="I1423" s="183" t="s">
        <v>1016</v>
      </c>
      <c r="J1423" s="183" t="s">
        <v>12052</v>
      </c>
      <c r="K1423">
        <v>0</v>
      </c>
      <c r="L1423" s="501">
        <v>1234</v>
      </c>
    </row>
    <row r="1424" spans="1:12">
      <c r="A1424" s="183" t="s">
        <v>1585</v>
      </c>
      <c r="B1424" s="183" t="s">
        <v>1586</v>
      </c>
      <c r="C1424">
        <v>50238210</v>
      </c>
      <c r="D1424">
        <v>45</v>
      </c>
      <c r="E1424">
        <v>0</v>
      </c>
      <c r="F1424">
        <v>0</v>
      </c>
      <c r="G1424">
        <v>0</v>
      </c>
      <c r="H1424">
        <v>45</v>
      </c>
      <c r="I1424" s="183" t="s">
        <v>1098</v>
      </c>
      <c r="J1424" s="183" t="s">
        <v>12061</v>
      </c>
      <c r="K1424">
        <v>0</v>
      </c>
      <c r="L1424">
        <v>45</v>
      </c>
    </row>
    <row r="1425" spans="1:12">
      <c r="A1425" s="183" t="s">
        <v>8180</v>
      </c>
      <c r="B1425" s="183" t="s">
        <v>8181</v>
      </c>
      <c r="C1425">
        <v>50238417</v>
      </c>
      <c r="D1425">
        <v>50</v>
      </c>
      <c r="E1425">
        <v>0</v>
      </c>
      <c r="F1425">
        <v>0</v>
      </c>
      <c r="G1425">
        <v>0</v>
      </c>
      <c r="H1425">
        <v>50</v>
      </c>
      <c r="I1425" s="183" t="s">
        <v>1098</v>
      </c>
      <c r="J1425" s="183" t="s">
        <v>12052</v>
      </c>
      <c r="K1425">
        <v>0</v>
      </c>
      <c r="L1425">
        <v>50</v>
      </c>
    </row>
    <row r="1426" spans="1:12">
      <c r="A1426" s="183" t="s">
        <v>2588</v>
      </c>
      <c r="B1426" s="183" t="s">
        <v>2589</v>
      </c>
      <c r="C1426">
        <v>50240101</v>
      </c>
      <c r="D1426">
        <v>46</v>
      </c>
      <c r="E1426">
        <v>0</v>
      </c>
      <c r="F1426">
        <v>0</v>
      </c>
      <c r="G1426">
        <v>0</v>
      </c>
      <c r="H1426">
        <v>46</v>
      </c>
      <c r="I1426" s="183" t="s">
        <v>1098</v>
      </c>
      <c r="J1426" s="183" t="s">
        <v>12057</v>
      </c>
      <c r="K1426">
        <v>0</v>
      </c>
      <c r="L1426">
        <v>46</v>
      </c>
    </row>
    <row r="1427" spans="1:12">
      <c r="A1427" s="183" t="s">
        <v>2715</v>
      </c>
      <c r="B1427" s="183" t="s">
        <v>2716</v>
      </c>
      <c r="C1427">
        <v>50240108</v>
      </c>
      <c r="D1427">
        <v>50</v>
      </c>
      <c r="E1427">
        <v>0</v>
      </c>
      <c r="F1427">
        <v>0</v>
      </c>
      <c r="G1427">
        <v>0</v>
      </c>
      <c r="H1427">
        <v>50</v>
      </c>
      <c r="I1427" s="183" t="s">
        <v>1098</v>
      </c>
      <c r="J1427" s="183" t="s">
        <v>12059</v>
      </c>
      <c r="K1427">
        <v>0</v>
      </c>
      <c r="L1427">
        <v>50</v>
      </c>
    </row>
    <row r="1428" spans="1:12">
      <c r="A1428" s="183" t="s">
        <v>8027</v>
      </c>
      <c r="B1428" s="183" t="s">
        <v>8028</v>
      </c>
      <c r="C1428">
        <v>50240117</v>
      </c>
      <c r="D1428">
        <v>66</v>
      </c>
      <c r="E1428">
        <v>0</v>
      </c>
      <c r="F1428">
        <v>0</v>
      </c>
      <c r="G1428">
        <v>0</v>
      </c>
      <c r="H1428">
        <v>66</v>
      </c>
      <c r="I1428" s="183" t="s">
        <v>1098</v>
      </c>
      <c r="J1428" s="183" t="s">
        <v>12058</v>
      </c>
      <c r="K1428">
        <v>0</v>
      </c>
      <c r="L1428">
        <v>66</v>
      </c>
    </row>
    <row r="1429" spans="1:12">
      <c r="A1429" s="183" t="s">
        <v>1756</v>
      </c>
      <c r="B1429" s="183" t="s">
        <v>1757</v>
      </c>
      <c r="C1429">
        <v>50240315</v>
      </c>
      <c r="D1429">
        <v>48</v>
      </c>
      <c r="E1429">
        <v>0</v>
      </c>
      <c r="F1429">
        <v>0</v>
      </c>
      <c r="G1429">
        <v>0</v>
      </c>
      <c r="H1429">
        <v>48</v>
      </c>
      <c r="I1429" s="183" t="s">
        <v>1098</v>
      </c>
      <c r="J1429" s="183" t="s">
        <v>12058</v>
      </c>
      <c r="K1429">
        <v>0</v>
      </c>
      <c r="L1429">
        <v>48</v>
      </c>
    </row>
    <row r="1430" spans="1:12">
      <c r="A1430" s="183" t="s">
        <v>1406</v>
      </c>
      <c r="B1430" s="183" t="s">
        <v>1407</v>
      </c>
      <c r="C1430">
        <v>50240508</v>
      </c>
      <c r="D1430">
        <v>40</v>
      </c>
      <c r="E1430">
        <v>0</v>
      </c>
      <c r="F1430">
        <v>0</v>
      </c>
      <c r="G1430">
        <v>0</v>
      </c>
      <c r="H1430">
        <v>40</v>
      </c>
      <c r="I1430" s="183" t="s">
        <v>1098</v>
      </c>
      <c r="J1430" s="183" t="s">
        <v>12060</v>
      </c>
      <c r="K1430">
        <v>0</v>
      </c>
      <c r="L1430">
        <v>40</v>
      </c>
    </row>
    <row r="1431" spans="1:12">
      <c r="A1431" s="183" t="s">
        <v>2083</v>
      </c>
      <c r="B1431" s="183" t="s">
        <v>2084</v>
      </c>
      <c r="C1431">
        <v>50240510</v>
      </c>
      <c r="D1431">
        <v>50</v>
      </c>
      <c r="E1431">
        <v>0</v>
      </c>
      <c r="F1431">
        <v>0</v>
      </c>
      <c r="G1431">
        <v>0</v>
      </c>
      <c r="H1431">
        <v>50</v>
      </c>
      <c r="I1431" s="183" t="s">
        <v>1098</v>
      </c>
      <c r="J1431" s="183" t="s">
        <v>12059</v>
      </c>
      <c r="K1431">
        <v>0</v>
      </c>
      <c r="L1431">
        <v>50</v>
      </c>
    </row>
    <row r="1432" spans="1:12">
      <c r="A1432" s="183" t="s">
        <v>6819</v>
      </c>
      <c r="B1432" s="183" t="s">
        <v>6820</v>
      </c>
      <c r="C1432">
        <v>37178226</v>
      </c>
      <c r="D1432">
        <v>644</v>
      </c>
      <c r="E1432">
        <v>0</v>
      </c>
      <c r="F1432">
        <v>0</v>
      </c>
      <c r="G1432">
        <v>0</v>
      </c>
      <c r="H1432">
        <v>644</v>
      </c>
      <c r="I1432" s="183" t="s">
        <v>1016</v>
      </c>
      <c r="J1432" s="183" t="s">
        <v>12052</v>
      </c>
      <c r="K1432">
        <v>0</v>
      </c>
      <c r="L1432">
        <v>644</v>
      </c>
    </row>
    <row r="1433" spans="1:12">
      <c r="A1433" s="183" t="s">
        <v>152</v>
      </c>
      <c r="B1433" s="183" t="s">
        <v>153</v>
      </c>
      <c r="C1433">
        <v>37178246</v>
      </c>
      <c r="D1433">
        <v>959</v>
      </c>
      <c r="E1433">
        <v>0</v>
      </c>
      <c r="F1433">
        <v>20</v>
      </c>
      <c r="G1433">
        <v>0</v>
      </c>
      <c r="H1433">
        <v>979</v>
      </c>
      <c r="I1433" s="183" t="s">
        <v>1016</v>
      </c>
      <c r="J1433" s="183" t="s">
        <v>12095</v>
      </c>
      <c r="K1433">
        <v>0</v>
      </c>
      <c r="L1433">
        <v>959</v>
      </c>
    </row>
    <row r="1434" spans="1:12">
      <c r="A1434" s="183" t="s">
        <v>4211</v>
      </c>
      <c r="B1434" s="183" t="s">
        <v>3978</v>
      </c>
      <c r="C1434">
        <v>8800268998260</v>
      </c>
      <c r="D1434">
        <v>114</v>
      </c>
      <c r="E1434">
        <v>0</v>
      </c>
      <c r="F1434">
        <v>0</v>
      </c>
      <c r="G1434">
        <v>0</v>
      </c>
      <c r="H1434">
        <v>114</v>
      </c>
      <c r="I1434" s="183" t="s">
        <v>3979</v>
      </c>
      <c r="J1434" s="183" t="s">
        <v>12063</v>
      </c>
      <c r="K1434">
        <v>0</v>
      </c>
      <c r="L1434">
        <v>114</v>
      </c>
    </row>
    <row r="1435" spans="1:12">
      <c r="A1435" s="183" t="s">
        <v>4022</v>
      </c>
      <c r="B1435" s="183" t="s">
        <v>3978</v>
      </c>
      <c r="C1435">
        <v>8800268998420</v>
      </c>
      <c r="D1435">
        <v>23</v>
      </c>
      <c r="E1435">
        <v>0</v>
      </c>
      <c r="F1435">
        <v>0</v>
      </c>
      <c r="G1435">
        <v>0</v>
      </c>
      <c r="H1435">
        <v>23</v>
      </c>
      <c r="I1435" s="183" t="s">
        <v>3979</v>
      </c>
      <c r="J1435" s="183" t="s">
        <v>12094</v>
      </c>
      <c r="K1435">
        <v>0</v>
      </c>
      <c r="L1435">
        <v>23</v>
      </c>
    </row>
    <row r="1436" spans="1:12">
      <c r="A1436" s="183" t="s">
        <v>4066</v>
      </c>
      <c r="B1436" s="183" t="s">
        <v>3978</v>
      </c>
      <c r="C1436">
        <v>8800268998437</v>
      </c>
      <c r="D1436">
        <v>11</v>
      </c>
      <c r="E1436">
        <v>0</v>
      </c>
      <c r="F1436">
        <v>0</v>
      </c>
      <c r="G1436">
        <v>0</v>
      </c>
      <c r="H1436">
        <v>11</v>
      </c>
      <c r="I1436" s="183" t="s">
        <v>3979</v>
      </c>
      <c r="J1436" s="183" t="s">
        <v>12094</v>
      </c>
      <c r="K1436">
        <v>0</v>
      </c>
      <c r="L1436">
        <v>11</v>
      </c>
    </row>
    <row r="1437" spans="1:12">
      <c r="A1437" s="183" t="s">
        <v>4187</v>
      </c>
      <c r="B1437" s="183" t="s">
        <v>3978</v>
      </c>
      <c r="C1437">
        <v>8800268998642</v>
      </c>
      <c r="D1437">
        <v>42</v>
      </c>
      <c r="E1437">
        <v>0</v>
      </c>
      <c r="F1437">
        <v>0</v>
      </c>
      <c r="G1437">
        <v>0</v>
      </c>
      <c r="H1437">
        <v>42</v>
      </c>
      <c r="I1437" s="183" t="s">
        <v>3979</v>
      </c>
      <c r="J1437" s="183" t="s">
        <v>12081</v>
      </c>
      <c r="K1437">
        <v>0</v>
      </c>
      <c r="L1437">
        <v>42</v>
      </c>
    </row>
    <row r="1438" spans="1:12">
      <c r="A1438" s="183" t="s">
        <v>4282</v>
      </c>
      <c r="B1438" s="183" t="s">
        <v>3978</v>
      </c>
      <c r="C1438">
        <v>8800268998796</v>
      </c>
      <c r="D1438">
        <v>44</v>
      </c>
      <c r="E1438">
        <v>0</v>
      </c>
      <c r="F1438">
        <v>0</v>
      </c>
      <c r="G1438">
        <v>0</v>
      </c>
      <c r="H1438">
        <v>44</v>
      </c>
      <c r="I1438" s="183" t="s">
        <v>3979</v>
      </c>
      <c r="J1438" s="183" t="s">
        <v>12091</v>
      </c>
      <c r="K1438">
        <v>0</v>
      </c>
      <c r="L1438">
        <v>44</v>
      </c>
    </row>
    <row r="1439" spans="1:12">
      <c r="A1439" s="183" t="s">
        <v>4463</v>
      </c>
      <c r="B1439" s="183" t="s">
        <v>3978</v>
      </c>
      <c r="C1439">
        <v>8800268998802</v>
      </c>
      <c r="D1439">
        <v>88</v>
      </c>
      <c r="E1439">
        <v>0</v>
      </c>
      <c r="F1439">
        <v>0</v>
      </c>
      <c r="G1439">
        <v>0</v>
      </c>
      <c r="H1439">
        <v>88</v>
      </c>
      <c r="I1439" s="183" t="s">
        <v>3979</v>
      </c>
      <c r="J1439" s="183" t="s">
        <v>12067</v>
      </c>
      <c r="K1439">
        <v>0</v>
      </c>
      <c r="L1439">
        <v>88</v>
      </c>
    </row>
    <row r="1440" spans="1:12">
      <c r="A1440" s="183" t="s">
        <v>4181</v>
      </c>
      <c r="B1440" s="183" t="s">
        <v>3978</v>
      </c>
      <c r="C1440">
        <v>8800268998949</v>
      </c>
      <c r="D1440">
        <v>28</v>
      </c>
      <c r="E1440">
        <v>0</v>
      </c>
      <c r="F1440">
        <v>0</v>
      </c>
      <c r="G1440">
        <v>0</v>
      </c>
      <c r="H1440">
        <v>28</v>
      </c>
      <c r="I1440" s="183" t="s">
        <v>3979</v>
      </c>
      <c r="J1440" s="183" t="s">
        <v>12087</v>
      </c>
      <c r="K1440">
        <v>0</v>
      </c>
      <c r="L1440">
        <v>28</v>
      </c>
    </row>
    <row r="1441" spans="1:12">
      <c r="A1441" s="183" t="s">
        <v>4067</v>
      </c>
      <c r="B1441" s="183" t="s">
        <v>3978</v>
      </c>
      <c r="C1441">
        <v>8800268998987</v>
      </c>
      <c r="D1441">
        <v>108</v>
      </c>
      <c r="E1441">
        <v>0</v>
      </c>
      <c r="F1441">
        <v>0</v>
      </c>
      <c r="G1441">
        <v>0</v>
      </c>
      <c r="H1441">
        <v>108</v>
      </c>
      <c r="I1441" s="183" t="s">
        <v>3979</v>
      </c>
      <c r="J1441" s="183" t="s">
        <v>12085</v>
      </c>
      <c r="K1441">
        <v>0</v>
      </c>
      <c r="L1441">
        <v>108</v>
      </c>
    </row>
    <row r="1442" spans="1:12">
      <c r="A1442" s="183" t="s">
        <v>4047</v>
      </c>
      <c r="B1442" s="183" t="s">
        <v>3978</v>
      </c>
      <c r="C1442">
        <v>8800268999090</v>
      </c>
      <c r="D1442">
        <v>48</v>
      </c>
      <c r="E1442">
        <v>0</v>
      </c>
      <c r="F1442">
        <v>0</v>
      </c>
      <c r="G1442">
        <v>0</v>
      </c>
      <c r="H1442">
        <v>48</v>
      </c>
      <c r="I1442" s="183" t="s">
        <v>3979</v>
      </c>
      <c r="J1442" s="183" t="s">
        <v>12087</v>
      </c>
      <c r="K1442">
        <v>0</v>
      </c>
      <c r="L1442">
        <v>48</v>
      </c>
    </row>
    <row r="1443" spans="1:12">
      <c r="A1443" s="183" t="s">
        <v>4144</v>
      </c>
      <c r="B1443" s="183" t="s">
        <v>3978</v>
      </c>
      <c r="C1443">
        <v>8800268999106</v>
      </c>
      <c r="D1443">
        <v>78</v>
      </c>
      <c r="E1443">
        <v>0</v>
      </c>
      <c r="F1443">
        <v>0</v>
      </c>
      <c r="G1443">
        <v>0</v>
      </c>
      <c r="H1443">
        <v>78</v>
      </c>
      <c r="I1443" s="183" t="s">
        <v>3979</v>
      </c>
      <c r="J1443" s="183" t="s">
        <v>12095</v>
      </c>
      <c r="K1443">
        <v>0</v>
      </c>
      <c r="L1443">
        <v>78</v>
      </c>
    </row>
    <row r="1444" spans="1:12">
      <c r="A1444" s="183" t="s">
        <v>4168</v>
      </c>
      <c r="B1444" s="183" t="s">
        <v>3978</v>
      </c>
      <c r="C1444">
        <v>8800268999182</v>
      </c>
      <c r="D1444">
        <v>10</v>
      </c>
      <c r="E1444">
        <v>0</v>
      </c>
      <c r="F1444">
        <v>0</v>
      </c>
      <c r="G1444">
        <v>0</v>
      </c>
      <c r="H1444">
        <v>10</v>
      </c>
      <c r="I1444" s="183" t="s">
        <v>3979</v>
      </c>
      <c r="J1444" s="183" t="s">
        <v>12087</v>
      </c>
      <c r="K1444">
        <v>0</v>
      </c>
      <c r="L1444">
        <v>10</v>
      </c>
    </row>
    <row r="1445" spans="1:12">
      <c r="A1445" s="183" t="s">
        <v>4169</v>
      </c>
      <c r="B1445" s="183" t="s">
        <v>3978</v>
      </c>
      <c r="C1445">
        <v>8800268999441</v>
      </c>
      <c r="D1445">
        <v>18</v>
      </c>
      <c r="E1445">
        <v>0</v>
      </c>
      <c r="F1445">
        <v>0</v>
      </c>
      <c r="G1445">
        <v>0</v>
      </c>
      <c r="H1445">
        <v>18</v>
      </c>
      <c r="I1445" s="183" t="s">
        <v>3979</v>
      </c>
      <c r="J1445" s="183" t="s">
        <v>12087</v>
      </c>
      <c r="K1445">
        <v>0</v>
      </c>
      <c r="L1445">
        <v>18</v>
      </c>
    </row>
    <row r="1446" spans="1:12">
      <c r="A1446" s="183" t="s">
        <v>4348</v>
      </c>
      <c r="B1446" s="183" t="s">
        <v>3978</v>
      </c>
      <c r="C1446">
        <v>8800268999564</v>
      </c>
      <c r="D1446">
        <v>6</v>
      </c>
      <c r="E1446">
        <v>0</v>
      </c>
      <c r="F1446">
        <v>0</v>
      </c>
      <c r="G1446">
        <v>0</v>
      </c>
      <c r="H1446">
        <v>6</v>
      </c>
      <c r="I1446" s="183" t="s">
        <v>3979</v>
      </c>
      <c r="J1446" s="183" t="s">
        <v>12085</v>
      </c>
      <c r="K1446">
        <v>0</v>
      </c>
      <c r="L1446">
        <v>6</v>
      </c>
    </row>
    <row r="1447" spans="1:12">
      <c r="A1447" s="183" t="s">
        <v>4037</v>
      </c>
      <c r="B1447" s="183" t="s">
        <v>3978</v>
      </c>
      <c r="C1447">
        <v>8800268999625</v>
      </c>
      <c r="D1447">
        <v>15</v>
      </c>
      <c r="E1447">
        <v>0</v>
      </c>
      <c r="F1447">
        <v>0</v>
      </c>
      <c r="G1447">
        <v>0</v>
      </c>
      <c r="H1447">
        <v>15</v>
      </c>
      <c r="I1447" s="183" t="s">
        <v>3979</v>
      </c>
      <c r="J1447" s="183" t="s">
        <v>12087</v>
      </c>
      <c r="K1447">
        <v>0</v>
      </c>
      <c r="L1447">
        <v>15</v>
      </c>
    </row>
    <row r="1448" spans="1:12">
      <c r="A1448" s="183" t="s">
        <v>4185</v>
      </c>
      <c r="B1448" s="183" t="s">
        <v>3978</v>
      </c>
      <c r="C1448">
        <v>8800268999854</v>
      </c>
      <c r="D1448">
        <v>118</v>
      </c>
      <c r="E1448">
        <v>0</v>
      </c>
      <c r="F1448">
        <v>0</v>
      </c>
      <c r="G1448">
        <v>0</v>
      </c>
      <c r="H1448">
        <v>118</v>
      </c>
      <c r="I1448" s="183" t="s">
        <v>3979</v>
      </c>
      <c r="J1448" s="183" t="s">
        <v>12093</v>
      </c>
      <c r="K1448">
        <v>0</v>
      </c>
      <c r="L1448">
        <v>118</v>
      </c>
    </row>
    <row r="1449" spans="1:12">
      <c r="A1449" s="183" t="s">
        <v>3982</v>
      </c>
      <c r="B1449" s="183" t="s">
        <v>3978</v>
      </c>
      <c r="C1449">
        <v>8800268999922</v>
      </c>
      <c r="D1449">
        <v>44</v>
      </c>
      <c r="E1449">
        <v>0</v>
      </c>
      <c r="F1449">
        <v>0</v>
      </c>
      <c r="G1449">
        <v>0</v>
      </c>
      <c r="H1449">
        <v>44</v>
      </c>
      <c r="I1449" s="183" t="s">
        <v>3979</v>
      </c>
      <c r="J1449" s="183" t="s">
        <v>12081</v>
      </c>
      <c r="K1449">
        <v>0</v>
      </c>
      <c r="L1449">
        <v>44</v>
      </c>
    </row>
    <row r="1450" spans="1:12">
      <c r="A1450" s="183" t="s">
        <v>4028</v>
      </c>
      <c r="B1450" s="183" t="s">
        <v>3978</v>
      </c>
      <c r="C1450">
        <v>8800268999991</v>
      </c>
      <c r="D1450">
        <v>102</v>
      </c>
      <c r="E1450">
        <v>0</v>
      </c>
      <c r="F1450">
        <v>0</v>
      </c>
      <c r="G1450">
        <v>0</v>
      </c>
      <c r="H1450">
        <v>102</v>
      </c>
      <c r="I1450" s="183" t="s">
        <v>3979</v>
      </c>
      <c r="J1450" s="183" t="s">
        <v>12081</v>
      </c>
      <c r="K1450">
        <v>0</v>
      </c>
      <c r="L1450">
        <v>102</v>
      </c>
    </row>
    <row r="1451" spans="1:12">
      <c r="A1451" s="183" t="s">
        <v>3996</v>
      </c>
      <c r="B1451" s="183" t="s">
        <v>3978</v>
      </c>
      <c r="C1451">
        <v>8800269000047</v>
      </c>
      <c r="D1451">
        <v>13</v>
      </c>
      <c r="E1451">
        <v>0</v>
      </c>
      <c r="F1451">
        <v>0</v>
      </c>
      <c r="G1451">
        <v>0</v>
      </c>
      <c r="H1451">
        <v>13</v>
      </c>
      <c r="I1451" s="183" t="s">
        <v>3979</v>
      </c>
      <c r="J1451" s="183" t="s">
        <v>12092</v>
      </c>
      <c r="K1451">
        <v>0</v>
      </c>
      <c r="L1451">
        <v>13</v>
      </c>
    </row>
    <row r="1452" spans="1:12">
      <c r="A1452" s="183" t="s">
        <v>4048</v>
      </c>
      <c r="B1452" s="183" t="s">
        <v>3978</v>
      </c>
      <c r="C1452">
        <v>8800269000238</v>
      </c>
      <c r="D1452">
        <v>34</v>
      </c>
      <c r="E1452">
        <v>0</v>
      </c>
      <c r="F1452">
        <v>0</v>
      </c>
      <c r="G1452">
        <v>0</v>
      </c>
      <c r="H1452">
        <v>34</v>
      </c>
      <c r="I1452" s="183" t="s">
        <v>3979</v>
      </c>
      <c r="J1452" s="183" t="s">
        <v>12094</v>
      </c>
      <c r="K1452">
        <v>0</v>
      </c>
      <c r="L1452">
        <v>34</v>
      </c>
    </row>
    <row r="1453" spans="1:12">
      <c r="A1453" s="183" t="s">
        <v>4132</v>
      </c>
      <c r="B1453" s="183" t="s">
        <v>3978</v>
      </c>
      <c r="C1453">
        <v>8800269000245</v>
      </c>
      <c r="D1453">
        <v>77</v>
      </c>
      <c r="E1453">
        <v>0</v>
      </c>
      <c r="F1453">
        <v>0</v>
      </c>
      <c r="G1453">
        <v>0</v>
      </c>
      <c r="H1453">
        <v>77</v>
      </c>
      <c r="I1453" s="183" t="s">
        <v>3979</v>
      </c>
      <c r="J1453" s="183" t="s">
        <v>12053</v>
      </c>
      <c r="K1453">
        <v>0</v>
      </c>
      <c r="L1453">
        <v>77</v>
      </c>
    </row>
    <row r="1454" spans="1:12">
      <c r="A1454" s="183" t="s">
        <v>4103</v>
      </c>
      <c r="B1454" s="183" t="s">
        <v>3978</v>
      </c>
      <c r="C1454">
        <v>8800269000283</v>
      </c>
      <c r="D1454">
        <v>19</v>
      </c>
      <c r="E1454">
        <v>0</v>
      </c>
      <c r="F1454">
        <v>0</v>
      </c>
      <c r="G1454">
        <v>0</v>
      </c>
      <c r="H1454">
        <v>19</v>
      </c>
      <c r="I1454" s="183" t="s">
        <v>3979</v>
      </c>
      <c r="J1454" s="183" t="s">
        <v>12092</v>
      </c>
      <c r="K1454">
        <v>0</v>
      </c>
      <c r="L1454">
        <v>19</v>
      </c>
    </row>
    <row r="1455" spans="1:12">
      <c r="A1455" s="183" t="s">
        <v>4663</v>
      </c>
      <c r="B1455" s="183" t="s">
        <v>3978</v>
      </c>
      <c r="C1455">
        <v>8800269000290</v>
      </c>
      <c r="D1455">
        <v>18</v>
      </c>
      <c r="E1455">
        <v>0</v>
      </c>
      <c r="F1455">
        <v>0</v>
      </c>
      <c r="G1455">
        <v>0</v>
      </c>
      <c r="H1455">
        <v>18</v>
      </c>
      <c r="I1455" s="183" t="s">
        <v>3979</v>
      </c>
      <c r="J1455" s="183" t="s">
        <v>12093</v>
      </c>
      <c r="K1455">
        <v>0</v>
      </c>
      <c r="L1455">
        <v>18</v>
      </c>
    </row>
    <row r="1456" spans="1:12">
      <c r="A1456" s="183" t="s">
        <v>4283</v>
      </c>
      <c r="B1456" s="183" t="s">
        <v>3978</v>
      </c>
      <c r="C1456">
        <v>8800269000320</v>
      </c>
      <c r="D1456">
        <v>22</v>
      </c>
      <c r="E1456">
        <v>0</v>
      </c>
      <c r="F1456">
        <v>0</v>
      </c>
      <c r="G1456">
        <v>0</v>
      </c>
      <c r="H1456">
        <v>22</v>
      </c>
      <c r="I1456" s="183" t="s">
        <v>3979</v>
      </c>
      <c r="J1456" s="183" t="s">
        <v>12094</v>
      </c>
      <c r="K1456">
        <v>0</v>
      </c>
      <c r="L1456">
        <v>22</v>
      </c>
    </row>
    <row r="1457" spans="1:12">
      <c r="A1457" s="183" t="s">
        <v>4640</v>
      </c>
      <c r="B1457" s="183" t="s">
        <v>3978</v>
      </c>
      <c r="C1457">
        <v>8800269000375</v>
      </c>
      <c r="D1457">
        <v>21</v>
      </c>
      <c r="E1457">
        <v>0</v>
      </c>
      <c r="F1457">
        <v>0</v>
      </c>
      <c r="G1457">
        <v>0</v>
      </c>
      <c r="H1457">
        <v>21</v>
      </c>
      <c r="I1457" s="183" t="s">
        <v>3979</v>
      </c>
      <c r="J1457" s="183" t="s">
        <v>12081</v>
      </c>
      <c r="K1457">
        <v>0</v>
      </c>
      <c r="L1457">
        <v>21</v>
      </c>
    </row>
    <row r="1458" spans="1:12">
      <c r="A1458" s="183" t="s">
        <v>4664</v>
      </c>
      <c r="B1458" s="183" t="s">
        <v>3978</v>
      </c>
      <c r="C1458">
        <v>8800269000443</v>
      </c>
      <c r="D1458">
        <v>7</v>
      </c>
      <c r="E1458">
        <v>0</v>
      </c>
      <c r="F1458">
        <v>0</v>
      </c>
      <c r="G1458">
        <v>0</v>
      </c>
      <c r="H1458">
        <v>7</v>
      </c>
      <c r="I1458" s="183" t="s">
        <v>3979</v>
      </c>
      <c r="J1458" s="183" t="s">
        <v>12094</v>
      </c>
      <c r="K1458">
        <v>0</v>
      </c>
      <c r="L1458">
        <v>7</v>
      </c>
    </row>
    <row r="1459" spans="1:12">
      <c r="A1459" s="183" t="s">
        <v>4059</v>
      </c>
      <c r="B1459" s="183" t="s">
        <v>3978</v>
      </c>
      <c r="C1459">
        <v>8800269000535</v>
      </c>
      <c r="D1459">
        <v>57</v>
      </c>
      <c r="E1459">
        <v>0</v>
      </c>
      <c r="F1459">
        <v>0</v>
      </c>
      <c r="G1459">
        <v>0</v>
      </c>
      <c r="H1459">
        <v>57</v>
      </c>
      <c r="I1459" s="183" t="s">
        <v>3979</v>
      </c>
      <c r="J1459" s="183" t="s">
        <v>12092</v>
      </c>
      <c r="K1459">
        <v>0</v>
      </c>
      <c r="L1459">
        <v>57</v>
      </c>
    </row>
    <row r="1460" spans="1:12">
      <c r="A1460" s="183" t="s">
        <v>4464</v>
      </c>
      <c r="B1460" s="183" t="s">
        <v>3978</v>
      </c>
      <c r="C1460">
        <v>8800269000542</v>
      </c>
      <c r="D1460">
        <v>36</v>
      </c>
      <c r="E1460">
        <v>0</v>
      </c>
      <c r="F1460">
        <v>0</v>
      </c>
      <c r="G1460">
        <v>0</v>
      </c>
      <c r="H1460">
        <v>36</v>
      </c>
      <c r="I1460" s="183" t="s">
        <v>3979</v>
      </c>
      <c r="J1460" s="183" t="s">
        <v>12092</v>
      </c>
      <c r="K1460">
        <v>0</v>
      </c>
      <c r="L1460">
        <v>36</v>
      </c>
    </row>
    <row r="1461" spans="1:12">
      <c r="A1461" s="183" t="s">
        <v>4068</v>
      </c>
      <c r="B1461" s="183" t="s">
        <v>3978</v>
      </c>
      <c r="C1461">
        <v>8800269000566</v>
      </c>
      <c r="D1461">
        <v>9</v>
      </c>
      <c r="E1461">
        <v>0</v>
      </c>
      <c r="F1461">
        <v>0</v>
      </c>
      <c r="G1461">
        <v>0</v>
      </c>
      <c r="H1461">
        <v>9</v>
      </c>
      <c r="I1461" s="183" t="s">
        <v>3979</v>
      </c>
      <c r="J1461" s="183" t="s">
        <v>12067</v>
      </c>
      <c r="K1461">
        <v>0</v>
      </c>
      <c r="L1461">
        <v>9</v>
      </c>
    </row>
    <row r="1462" spans="1:12">
      <c r="A1462" s="183" t="s">
        <v>4145</v>
      </c>
      <c r="B1462" s="183" t="s">
        <v>3978</v>
      </c>
      <c r="C1462">
        <v>8800269000634</v>
      </c>
      <c r="D1462">
        <v>11</v>
      </c>
      <c r="E1462">
        <v>0</v>
      </c>
      <c r="F1462">
        <v>0</v>
      </c>
      <c r="G1462">
        <v>0</v>
      </c>
      <c r="H1462">
        <v>11</v>
      </c>
      <c r="I1462" s="183" t="s">
        <v>3979</v>
      </c>
      <c r="J1462" s="183" t="s">
        <v>12060</v>
      </c>
      <c r="K1462">
        <v>0</v>
      </c>
      <c r="L1462">
        <v>11</v>
      </c>
    </row>
    <row r="1463" spans="1:12">
      <c r="A1463" s="183" t="s">
        <v>4058</v>
      </c>
      <c r="B1463" s="183" t="s">
        <v>3978</v>
      </c>
      <c r="C1463">
        <v>8800269000641</v>
      </c>
      <c r="D1463">
        <v>32</v>
      </c>
      <c r="E1463">
        <v>0</v>
      </c>
      <c r="F1463">
        <v>0</v>
      </c>
      <c r="G1463">
        <v>0</v>
      </c>
      <c r="H1463">
        <v>32</v>
      </c>
      <c r="I1463" s="183" t="s">
        <v>3979</v>
      </c>
      <c r="J1463" s="183" t="s">
        <v>12053</v>
      </c>
      <c r="K1463">
        <v>0</v>
      </c>
      <c r="L1463">
        <v>32</v>
      </c>
    </row>
    <row r="1464" spans="1:12">
      <c r="A1464" s="183" t="s">
        <v>4155</v>
      </c>
      <c r="B1464" s="183" t="s">
        <v>3978</v>
      </c>
      <c r="C1464">
        <v>8800269000658</v>
      </c>
      <c r="D1464">
        <v>12</v>
      </c>
      <c r="E1464">
        <v>0</v>
      </c>
      <c r="F1464">
        <v>0</v>
      </c>
      <c r="G1464">
        <v>0</v>
      </c>
      <c r="H1464">
        <v>12</v>
      </c>
      <c r="I1464" s="183" t="s">
        <v>3979</v>
      </c>
      <c r="J1464" s="183" t="s">
        <v>12067</v>
      </c>
      <c r="K1464">
        <v>0</v>
      </c>
      <c r="L1464">
        <v>12</v>
      </c>
    </row>
    <row r="1465" spans="1:12">
      <c r="A1465" s="183" t="s">
        <v>4284</v>
      </c>
      <c r="B1465" s="183" t="s">
        <v>3978</v>
      </c>
      <c r="C1465">
        <v>8800269000665</v>
      </c>
      <c r="D1465">
        <v>4</v>
      </c>
      <c r="E1465">
        <v>0</v>
      </c>
      <c r="F1465">
        <v>0</v>
      </c>
      <c r="G1465">
        <v>0</v>
      </c>
      <c r="H1465">
        <v>4</v>
      </c>
      <c r="I1465" s="183" t="s">
        <v>3979</v>
      </c>
      <c r="J1465" s="183" t="s">
        <v>12067</v>
      </c>
      <c r="K1465">
        <v>0</v>
      </c>
      <c r="L1465">
        <v>4</v>
      </c>
    </row>
    <row r="1466" spans="1:12">
      <c r="A1466" s="183" t="s">
        <v>4020</v>
      </c>
      <c r="B1466" s="183" t="s">
        <v>3978</v>
      </c>
      <c r="C1466">
        <v>8800269000962</v>
      </c>
      <c r="D1466">
        <v>14</v>
      </c>
      <c r="E1466">
        <v>0</v>
      </c>
      <c r="F1466">
        <v>0</v>
      </c>
      <c r="G1466">
        <v>0</v>
      </c>
      <c r="H1466">
        <v>14</v>
      </c>
      <c r="I1466" s="183" t="s">
        <v>3979</v>
      </c>
      <c r="J1466" s="183" t="s">
        <v>12066</v>
      </c>
      <c r="K1466">
        <v>0</v>
      </c>
      <c r="L1466">
        <v>14</v>
      </c>
    </row>
    <row r="1467" spans="1:12">
      <c r="A1467" s="183" t="s">
        <v>1380</v>
      </c>
      <c r="B1467" s="183" t="s">
        <v>1381</v>
      </c>
      <c r="C1467">
        <v>50219215</v>
      </c>
      <c r="D1467">
        <v>48</v>
      </c>
      <c r="E1467">
        <v>0</v>
      </c>
      <c r="F1467">
        <v>0</v>
      </c>
      <c r="G1467">
        <v>0</v>
      </c>
      <c r="H1467">
        <v>48</v>
      </c>
      <c r="I1467" s="183" t="s">
        <v>1098</v>
      </c>
      <c r="J1467" s="183" t="s">
        <v>12060</v>
      </c>
      <c r="K1467">
        <v>0</v>
      </c>
      <c r="L1467">
        <v>48</v>
      </c>
    </row>
    <row r="1468" spans="1:12">
      <c r="A1468" s="183" t="s">
        <v>1897</v>
      </c>
      <c r="B1468" s="183" t="s">
        <v>1898</v>
      </c>
      <c r="C1468">
        <v>50219517</v>
      </c>
      <c r="D1468">
        <v>77</v>
      </c>
      <c r="E1468">
        <v>0</v>
      </c>
      <c r="F1468">
        <v>0</v>
      </c>
      <c r="G1468">
        <v>0</v>
      </c>
      <c r="H1468">
        <v>77</v>
      </c>
      <c r="I1468" s="183" t="s">
        <v>1098</v>
      </c>
      <c r="J1468" s="183" t="s">
        <v>12056</v>
      </c>
      <c r="K1468">
        <v>0</v>
      </c>
      <c r="L1468">
        <v>77</v>
      </c>
    </row>
    <row r="1469" spans="1:12">
      <c r="A1469" s="183" t="s">
        <v>2340</v>
      </c>
      <c r="B1469" s="183" t="s">
        <v>2341</v>
      </c>
      <c r="C1469">
        <v>50220101</v>
      </c>
      <c r="D1469">
        <v>39</v>
      </c>
      <c r="E1469">
        <v>0</v>
      </c>
      <c r="F1469">
        <v>0</v>
      </c>
      <c r="G1469">
        <v>0</v>
      </c>
      <c r="H1469">
        <v>39</v>
      </c>
      <c r="I1469" s="183" t="s">
        <v>1098</v>
      </c>
      <c r="J1469" s="183" t="s">
        <v>12052</v>
      </c>
      <c r="K1469">
        <v>0</v>
      </c>
      <c r="L1469">
        <v>39</v>
      </c>
    </row>
    <row r="1470" spans="1:12">
      <c r="A1470" s="183" t="s">
        <v>2038</v>
      </c>
      <c r="B1470" s="183" t="s">
        <v>2039</v>
      </c>
      <c r="C1470">
        <v>50220116</v>
      </c>
      <c r="D1470">
        <v>31</v>
      </c>
      <c r="E1470">
        <v>0</v>
      </c>
      <c r="F1470">
        <v>0</v>
      </c>
      <c r="G1470">
        <v>0</v>
      </c>
      <c r="H1470">
        <v>31</v>
      </c>
      <c r="I1470" s="183" t="s">
        <v>1098</v>
      </c>
      <c r="J1470" s="183" t="s">
        <v>12055</v>
      </c>
      <c r="K1470">
        <v>0</v>
      </c>
      <c r="L1470">
        <v>31</v>
      </c>
    </row>
    <row r="1471" spans="1:12">
      <c r="A1471" s="183" t="s">
        <v>2211</v>
      </c>
      <c r="B1471" s="183" t="s">
        <v>2212</v>
      </c>
      <c r="C1471">
        <v>50220403</v>
      </c>
      <c r="D1471">
        <v>50</v>
      </c>
      <c r="E1471">
        <v>0</v>
      </c>
      <c r="F1471">
        <v>0</v>
      </c>
      <c r="G1471">
        <v>0</v>
      </c>
      <c r="H1471">
        <v>50</v>
      </c>
      <c r="I1471" s="183" t="s">
        <v>1098</v>
      </c>
      <c r="J1471" s="183" t="s">
        <v>12054</v>
      </c>
      <c r="K1471">
        <v>0</v>
      </c>
      <c r="L1471">
        <v>50</v>
      </c>
    </row>
    <row r="1472" spans="1:12">
      <c r="A1472" s="183" t="s">
        <v>7174</v>
      </c>
      <c r="B1472" s="183" t="s">
        <v>7175</v>
      </c>
      <c r="C1472">
        <v>50220503</v>
      </c>
      <c r="D1472">
        <v>29</v>
      </c>
      <c r="E1472">
        <v>0</v>
      </c>
      <c r="F1472">
        <v>0</v>
      </c>
      <c r="G1472">
        <v>0</v>
      </c>
      <c r="H1472">
        <v>29</v>
      </c>
      <c r="I1472" s="183" t="s">
        <v>1098</v>
      </c>
      <c r="J1472" s="183" t="s">
        <v>12057</v>
      </c>
      <c r="K1472">
        <v>0</v>
      </c>
      <c r="L1472">
        <v>29</v>
      </c>
    </row>
    <row r="1473" spans="1:12">
      <c r="A1473" s="183" t="s">
        <v>2688</v>
      </c>
      <c r="B1473" s="183" t="s">
        <v>2689</v>
      </c>
      <c r="C1473">
        <v>50221103</v>
      </c>
      <c r="D1473">
        <v>50</v>
      </c>
      <c r="E1473">
        <v>0</v>
      </c>
      <c r="F1473">
        <v>0</v>
      </c>
      <c r="G1473">
        <v>0</v>
      </c>
      <c r="H1473">
        <v>50</v>
      </c>
      <c r="I1473" s="183" t="s">
        <v>1098</v>
      </c>
      <c r="J1473" s="183" t="s">
        <v>12057</v>
      </c>
      <c r="K1473">
        <v>0</v>
      </c>
      <c r="L1473">
        <v>50</v>
      </c>
    </row>
    <row r="1474" spans="1:12">
      <c r="A1474" s="183" t="s">
        <v>2539</v>
      </c>
      <c r="B1474" s="183" t="s">
        <v>2540</v>
      </c>
      <c r="C1474">
        <v>50221201</v>
      </c>
      <c r="D1474">
        <v>40</v>
      </c>
      <c r="E1474">
        <v>0</v>
      </c>
      <c r="F1474">
        <v>0</v>
      </c>
      <c r="G1474">
        <v>0</v>
      </c>
      <c r="H1474">
        <v>40</v>
      </c>
      <c r="I1474" s="183" t="s">
        <v>1098</v>
      </c>
      <c r="J1474" s="183" t="s">
        <v>12056</v>
      </c>
      <c r="K1474">
        <v>0</v>
      </c>
      <c r="L1474">
        <v>40</v>
      </c>
    </row>
    <row r="1475" spans="1:12">
      <c r="A1475" s="183" t="s">
        <v>1694</v>
      </c>
      <c r="B1475" s="183" t="s">
        <v>1695</v>
      </c>
      <c r="C1475">
        <v>50221203</v>
      </c>
      <c r="D1475">
        <v>43</v>
      </c>
      <c r="E1475">
        <v>0</v>
      </c>
      <c r="F1475">
        <v>0</v>
      </c>
      <c r="G1475">
        <v>0</v>
      </c>
      <c r="H1475">
        <v>43</v>
      </c>
      <c r="I1475" s="183" t="s">
        <v>1098</v>
      </c>
      <c r="J1475" s="183" t="s">
        <v>12059</v>
      </c>
      <c r="K1475">
        <v>0</v>
      </c>
      <c r="L1475">
        <v>43</v>
      </c>
    </row>
    <row r="1476" spans="1:12">
      <c r="A1476" s="183" t="s">
        <v>8513</v>
      </c>
      <c r="B1476" s="183" t="s">
        <v>8514</v>
      </c>
      <c r="C1476">
        <v>50221208</v>
      </c>
      <c r="D1476">
        <v>50</v>
      </c>
      <c r="E1476">
        <v>0</v>
      </c>
      <c r="F1476">
        <v>0</v>
      </c>
      <c r="G1476">
        <v>0</v>
      </c>
      <c r="H1476">
        <v>50</v>
      </c>
      <c r="I1476" s="183" t="s">
        <v>1098</v>
      </c>
      <c r="J1476" s="183" t="s">
        <v>12061</v>
      </c>
      <c r="K1476">
        <v>0</v>
      </c>
      <c r="L1476">
        <v>50</v>
      </c>
    </row>
    <row r="1477" spans="1:12">
      <c r="A1477" s="183" t="s">
        <v>8302</v>
      </c>
      <c r="B1477" s="183" t="s">
        <v>8303</v>
      </c>
      <c r="C1477">
        <v>50221417</v>
      </c>
      <c r="D1477">
        <v>38</v>
      </c>
      <c r="E1477">
        <v>0</v>
      </c>
      <c r="F1477">
        <v>0</v>
      </c>
      <c r="G1477">
        <v>0</v>
      </c>
      <c r="H1477">
        <v>38</v>
      </c>
      <c r="I1477" s="183" t="s">
        <v>1098</v>
      </c>
      <c r="J1477" s="183" t="s">
        <v>12052</v>
      </c>
      <c r="K1477">
        <v>0</v>
      </c>
      <c r="L1477">
        <v>38</v>
      </c>
    </row>
    <row r="1478" spans="1:12">
      <c r="A1478" s="183" t="s">
        <v>2516</v>
      </c>
      <c r="B1478" s="183" t="s">
        <v>2517</v>
      </c>
      <c r="C1478">
        <v>50222201</v>
      </c>
      <c r="D1478">
        <v>33</v>
      </c>
      <c r="E1478">
        <v>0</v>
      </c>
      <c r="F1478">
        <v>0</v>
      </c>
      <c r="G1478">
        <v>0</v>
      </c>
      <c r="H1478">
        <v>33</v>
      </c>
      <c r="I1478" s="183" t="s">
        <v>1098</v>
      </c>
      <c r="J1478" s="183" t="s">
        <v>12060</v>
      </c>
      <c r="K1478">
        <v>0</v>
      </c>
      <c r="L1478">
        <v>33</v>
      </c>
    </row>
    <row r="1479" spans="1:12">
      <c r="A1479" s="183" t="s">
        <v>2531</v>
      </c>
      <c r="B1479" s="183" t="s">
        <v>2532</v>
      </c>
      <c r="C1479">
        <v>50222203</v>
      </c>
      <c r="D1479">
        <v>49</v>
      </c>
      <c r="E1479">
        <v>0</v>
      </c>
      <c r="F1479">
        <v>0</v>
      </c>
      <c r="G1479">
        <v>0</v>
      </c>
      <c r="H1479">
        <v>49</v>
      </c>
      <c r="I1479" s="183" t="s">
        <v>1098</v>
      </c>
      <c r="J1479" s="183" t="s">
        <v>12057</v>
      </c>
      <c r="K1479">
        <v>0</v>
      </c>
      <c r="L1479">
        <v>49</v>
      </c>
    </row>
    <row r="1480" spans="1:12">
      <c r="A1480" s="183" t="s">
        <v>2342</v>
      </c>
      <c r="B1480" s="183" t="s">
        <v>2343</v>
      </c>
      <c r="C1480">
        <v>50222317</v>
      </c>
      <c r="D1480">
        <v>20</v>
      </c>
      <c r="E1480">
        <v>0</v>
      </c>
      <c r="F1480">
        <v>0</v>
      </c>
      <c r="G1480">
        <v>0</v>
      </c>
      <c r="H1480">
        <v>20</v>
      </c>
      <c r="I1480" s="183" t="s">
        <v>1098</v>
      </c>
      <c r="J1480" s="183" t="s">
        <v>12058</v>
      </c>
      <c r="K1480">
        <v>0</v>
      </c>
      <c r="L1480">
        <v>20</v>
      </c>
    </row>
    <row r="1481" spans="1:12">
      <c r="A1481" s="183" t="s">
        <v>8402</v>
      </c>
      <c r="B1481" s="183" t="s">
        <v>8403</v>
      </c>
      <c r="C1481">
        <v>50223315</v>
      </c>
      <c r="D1481">
        <v>50</v>
      </c>
      <c r="E1481">
        <v>0</v>
      </c>
      <c r="F1481">
        <v>0</v>
      </c>
      <c r="G1481">
        <v>0</v>
      </c>
      <c r="H1481">
        <v>50</v>
      </c>
      <c r="I1481" s="183" t="s">
        <v>1098</v>
      </c>
      <c r="J1481" s="183" t="s">
        <v>12060</v>
      </c>
      <c r="K1481">
        <v>0</v>
      </c>
      <c r="L1481">
        <v>50</v>
      </c>
    </row>
    <row r="1482" spans="1:12">
      <c r="A1482" s="183" t="s">
        <v>8338</v>
      </c>
      <c r="B1482" s="183" t="s">
        <v>8339</v>
      </c>
      <c r="C1482">
        <v>50223517</v>
      </c>
      <c r="D1482">
        <v>25</v>
      </c>
      <c r="E1482">
        <v>0</v>
      </c>
      <c r="F1482">
        <v>0</v>
      </c>
      <c r="G1482">
        <v>0</v>
      </c>
      <c r="H1482">
        <v>25</v>
      </c>
      <c r="I1482" s="183" t="s">
        <v>1098</v>
      </c>
      <c r="J1482" s="183" t="s">
        <v>12091</v>
      </c>
      <c r="K1482">
        <v>0</v>
      </c>
      <c r="L1482">
        <v>25</v>
      </c>
    </row>
    <row r="1483" spans="1:12">
      <c r="A1483" s="183" t="s">
        <v>1901</v>
      </c>
      <c r="B1483" s="183" t="s">
        <v>1902</v>
      </c>
      <c r="C1483">
        <v>50224116</v>
      </c>
      <c r="D1483">
        <v>48</v>
      </c>
      <c r="E1483">
        <v>0</v>
      </c>
      <c r="F1483">
        <v>0</v>
      </c>
      <c r="G1483">
        <v>0</v>
      </c>
      <c r="H1483">
        <v>48</v>
      </c>
      <c r="I1483" s="183" t="s">
        <v>1098</v>
      </c>
      <c r="J1483" s="183" t="s">
        <v>12091</v>
      </c>
      <c r="K1483">
        <v>0</v>
      </c>
      <c r="L1483">
        <v>48</v>
      </c>
    </row>
    <row r="1484" spans="1:12">
      <c r="A1484" s="183" t="s">
        <v>7004</v>
      </c>
      <c r="B1484" s="183" t="s">
        <v>7005</v>
      </c>
      <c r="C1484">
        <v>50224210</v>
      </c>
      <c r="D1484">
        <v>39</v>
      </c>
      <c r="E1484">
        <v>0</v>
      </c>
      <c r="F1484">
        <v>0</v>
      </c>
      <c r="G1484">
        <v>0</v>
      </c>
      <c r="H1484">
        <v>39</v>
      </c>
      <c r="I1484" s="183" t="s">
        <v>1098</v>
      </c>
      <c r="J1484" s="183" t="s">
        <v>12055</v>
      </c>
      <c r="K1484">
        <v>0</v>
      </c>
      <c r="L1484">
        <v>39</v>
      </c>
    </row>
    <row r="1485" spans="1:12">
      <c r="A1485" s="183" t="s">
        <v>8220</v>
      </c>
      <c r="B1485" s="183" t="s">
        <v>8221</v>
      </c>
      <c r="C1485">
        <v>50224216</v>
      </c>
      <c r="D1485">
        <v>48</v>
      </c>
      <c r="E1485">
        <v>0</v>
      </c>
      <c r="F1485">
        <v>0</v>
      </c>
      <c r="G1485">
        <v>0</v>
      </c>
      <c r="H1485">
        <v>48</v>
      </c>
      <c r="I1485" s="183" t="s">
        <v>1098</v>
      </c>
      <c r="J1485" s="183" t="s">
        <v>12052</v>
      </c>
      <c r="K1485">
        <v>0</v>
      </c>
      <c r="L1485">
        <v>48</v>
      </c>
    </row>
    <row r="1486" spans="1:12">
      <c r="A1486" s="183" t="s">
        <v>1696</v>
      </c>
      <c r="B1486" s="183" t="s">
        <v>1697</v>
      </c>
      <c r="C1486">
        <v>50224316</v>
      </c>
      <c r="D1486">
        <v>46</v>
      </c>
      <c r="E1486">
        <v>0</v>
      </c>
      <c r="F1486">
        <v>0</v>
      </c>
      <c r="G1486">
        <v>0</v>
      </c>
      <c r="H1486">
        <v>46</v>
      </c>
      <c r="I1486" s="183" t="s">
        <v>1098</v>
      </c>
      <c r="J1486" s="183" t="s">
        <v>12052</v>
      </c>
      <c r="K1486">
        <v>0</v>
      </c>
      <c r="L1486">
        <v>46</v>
      </c>
    </row>
    <row r="1487" spans="1:12">
      <c r="A1487" s="183" t="s">
        <v>2206</v>
      </c>
      <c r="B1487" s="183" t="s">
        <v>2207</v>
      </c>
      <c r="C1487">
        <v>50226217</v>
      </c>
      <c r="D1487">
        <v>38</v>
      </c>
      <c r="E1487">
        <v>0</v>
      </c>
      <c r="F1487">
        <v>0</v>
      </c>
      <c r="G1487">
        <v>0</v>
      </c>
      <c r="H1487">
        <v>38</v>
      </c>
      <c r="I1487" s="183" t="s">
        <v>1098</v>
      </c>
      <c r="J1487" s="183" t="s">
        <v>12060</v>
      </c>
      <c r="K1487">
        <v>0</v>
      </c>
      <c r="L1487">
        <v>38</v>
      </c>
    </row>
    <row r="1488" spans="1:12">
      <c r="A1488" s="183" t="s">
        <v>8246</v>
      </c>
      <c r="B1488" s="183" t="s">
        <v>8247</v>
      </c>
      <c r="C1488">
        <v>50226316</v>
      </c>
      <c r="D1488">
        <v>73</v>
      </c>
      <c r="E1488">
        <v>0</v>
      </c>
      <c r="F1488">
        <v>0</v>
      </c>
      <c r="G1488">
        <v>0</v>
      </c>
      <c r="H1488">
        <v>73</v>
      </c>
      <c r="I1488" s="183" t="s">
        <v>1098</v>
      </c>
      <c r="J1488" s="183" t="s">
        <v>12061</v>
      </c>
      <c r="K1488">
        <v>0</v>
      </c>
      <c r="L1488">
        <v>73</v>
      </c>
    </row>
    <row r="1489" spans="1:12">
      <c r="A1489" s="183" t="s">
        <v>7215</v>
      </c>
      <c r="B1489" s="183" t="s">
        <v>7216</v>
      </c>
      <c r="C1489">
        <v>50226508</v>
      </c>
      <c r="D1489">
        <v>28</v>
      </c>
      <c r="E1489">
        <v>0</v>
      </c>
      <c r="F1489">
        <v>0</v>
      </c>
      <c r="G1489">
        <v>0</v>
      </c>
      <c r="H1489">
        <v>28</v>
      </c>
      <c r="I1489" s="183" t="s">
        <v>1098</v>
      </c>
      <c r="J1489" s="183" t="s">
        <v>12050</v>
      </c>
      <c r="K1489">
        <v>0</v>
      </c>
      <c r="L1489">
        <v>28</v>
      </c>
    </row>
    <row r="1490" spans="1:12">
      <c r="A1490" s="183" t="s">
        <v>6994</v>
      </c>
      <c r="B1490" s="183" t="s">
        <v>6995</v>
      </c>
      <c r="C1490">
        <v>50228102</v>
      </c>
      <c r="D1490">
        <v>44</v>
      </c>
      <c r="E1490">
        <v>0</v>
      </c>
      <c r="F1490">
        <v>0</v>
      </c>
      <c r="G1490">
        <v>0</v>
      </c>
      <c r="H1490">
        <v>44</v>
      </c>
      <c r="I1490" s="183" t="s">
        <v>1098</v>
      </c>
      <c r="J1490" s="183" t="s">
        <v>12056</v>
      </c>
      <c r="K1490">
        <v>0</v>
      </c>
      <c r="L1490">
        <v>44</v>
      </c>
    </row>
    <row r="1491" spans="1:12">
      <c r="A1491" s="183" t="s">
        <v>1543</v>
      </c>
      <c r="B1491" s="183" t="s">
        <v>1544</v>
      </c>
      <c r="C1491">
        <v>50228417</v>
      </c>
      <c r="D1491">
        <v>37</v>
      </c>
      <c r="E1491">
        <v>0</v>
      </c>
      <c r="F1491">
        <v>0</v>
      </c>
      <c r="G1491">
        <v>0</v>
      </c>
      <c r="H1491">
        <v>37</v>
      </c>
      <c r="I1491" s="183" t="s">
        <v>1098</v>
      </c>
      <c r="J1491" s="183" t="s">
        <v>12058</v>
      </c>
      <c r="K1491">
        <v>0</v>
      </c>
      <c r="L1491">
        <v>37</v>
      </c>
    </row>
    <row r="1492" spans="1:12">
      <c r="A1492" s="183" t="s">
        <v>2040</v>
      </c>
      <c r="B1492" s="183" t="s">
        <v>2041</v>
      </c>
      <c r="C1492">
        <v>50228501</v>
      </c>
      <c r="D1492">
        <v>99</v>
      </c>
      <c r="E1492">
        <v>0</v>
      </c>
      <c r="F1492">
        <v>0</v>
      </c>
      <c r="G1492">
        <v>0</v>
      </c>
      <c r="H1492">
        <v>99</v>
      </c>
      <c r="I1492" s="183" t="s">
        <v>1098</v>
      </c>
      <c r="J1492" s="183" t="s">
        <v>12058</v>
      </c>
      <c r="K1492">
        <v>0</v>
      </c>
      <c r="L1492">
        <v>99</v>
      </c>
    </row>
    <row r="1493" spans="1:12">
      <c r="A1493" s="183" t="s">
        <v>2203</v>
      </c>
      <c r="B1493" s="183" t="s">
        <v>2204</v>
      </c>
      <c r="C1493">
        <v>50228503</v>
      </c>
      <c r="D1493">
        <v>50</v>
      </c>
      <c r="E1493">
        <v>0</v>
      </c>
      <c r="F1493">
        <v>0</v>
      </c>
      <c r="G1493">
        <v>0</v>
      </c>
      <c r="H1493">
        <v>50</v>
      </c>
      <c r="I1493" s="183" t="s">
        <v>1098</v>
      </c>
      <c r="J1493" s="183" t="s">
        <v>12053</v>
      </c>
      <c r="K1493">
        <v>0</v>
      </c>
      <c r="L1493">
        <v>50</v>
      </c>
    </row>
    <row r="1494" spans="1:12">
      <c r="A1494" s="183" t="s">
        <v>7191</v>
      </c>
      <c r="B1494" s="183" t="s">
        <v>7192</v>
      </c>
      <c r="C1494">
        <v>50228508</v>
      </c>
      <c r="D1494">
        <v>19</v>
      </c>
      <c r="E1494">
        <v>0</v>
      </c>
      <c r="F1494">
        <v>0</v>
      </c>
      <c r="G1494">
        <v>0</v>
      </c>
      <c r="H1494">
        <v>19</v>
      </c>
      <c r="I1494" s="183" t="s">
        <v>1098</v>
      </c>
      <c r="J1494" s="183" t="s">
        <v>12052</v>
      </c>
      <c r="K1494">
        <v>0</v>
      </c>
      <c r="L1494">
        <v>19</v>
      </c>
    </row>
    <row r="1495" spans="1:12">
      <c r="A1495" s="183" t="s">
        <v>1382</v>
      </c>
      <c r="B1495" s="183" t="s">
        <v>1383</v>
      </c>
      <c r="C1495">
        <v>50230115</v>
      </c>
      <c r="D1495">
        <v>48</v>
      </c>
      <c r="E1495">
        <v>0</v>
      </c>
      <c r="F1495">
        <v>0</v>
      </c>
      <c r="G1495">
        <v>0</v>
      </c>
      <c r="H1495">
        <v>48</v>
      </c>
      <c r="I1495" s="183" t="s">
        <v>1098</v>
      </c>
      <c r="J1495" s="183" t="s">
        <v>12060</v>
      </c>
      <c r="K1495">
        <v>0</v>
      </c>
      <c r="L1495">
        <v>48</v>
      </c>
    </row>
    <row r="1496" spans="1:12">
      <c r="A1496" s="183" t="s">
        <v>8340</v>
      </c>
      <c r="B1496" s="183" t="s">
        <v>8341</v>
      </c>
      <c r="C1496">
        <v>50230310</v>
      </c>
      <c r="D1496">
        <v>50</v>
      </c>
      <c r="E1496">
        <v>0</v>
      </c>
      <c r="F1496">
        <v>0</v>
      </c>
      <c r="G1496">
        <v>0</v>
      </c>
      <c r="H1496">
        <v>50</v>
      </c>
      <c r="I1496" s="183" t="s">
        <v>1098</v>
      </c>
      <c r="J1496" s="183" t="s">
        <v>12063</v>
      </c>
      <c r="K1496">
        <v>0</v>
      </c>
      <c r="L1496">
        <v>50</v>
      </c>
    </row>
    <row r="1497" spans="1:12">
      <c r="A1497" s="183" t="s">
        <v>3006</v>
      </c>
      <c r="B1497" s="183" t="s">
        <v>3007</v>
      </c>
      <c r="C1497">
        <v>50230317</v>
      </c>
      <c r="D1497">
        <v>28</v>
      </c>
      <c r="E1497">
        <v>0</v>
      </c>
      <c r="F1497">
        <v>0</v>
      </c>
      <c r="G1497">
        <v>0</v>
      </c>
      <c r="H1497">
        <v>28</v>
      </c>
      <c r="I1497" s="183" t="s">
        <v>1098</v>
      </c>
      <c r="J1497" s="183" t="s">
        <v>12054</v>
      </c>
      <c r="K1497">
        <v>0</v>
      </c>
      <c r="L1497">
        <v>28</v>
      </c>
    </row>
    <row r="1498" spans="1:12">
      <c r="A1498" s="183" t="s">
        <v>2523</v>
      </c>
      <c r="B1498" s="183" t="s">
        <v>2524</v>
      </c>
      <c r="C1498">
        <v>50232117</v>
      </c>
      <c r="D1498">
        <v>48</v>
      </c>
      <c r="E1498">
        <v>0</v>
      </c>
      <c r="F1498">
        <v>0</v>
      </c>
      <c r="G1498">
        <v>0</v>
      </c>
      <c r="H1498">
        <v>48</v>
      </c>
      <c r="I1498" s="183" t="s">
        <v>1098</v>
      </c>
      <c r="J1498" s="183" t="s">
        <v>12056</v>
      </c>
      <c r="K1498">
        <v>0</v>
      </c>
      <c r="L1498">
        <v>48</v>
      </c>
    </row>
    <row r="1499" spans="1:12">
      <c r="A1499" s="183" t="s">
        <v>2513</v>
      </c>
      <c r="B1499" s="183" t="s">
        <v>2514</v>
      </c>
      <c r="C1499">
        <v>50232203</v>
      </c>
      <c r="D1499">
        <v>49</v>
      </c>
      <c r="E1499">
        <v>0</v>
      </c>
      <c r="F1499">
        <v>0</v>
      </c>
      <c r="G1499">
        <v>0</v>
      </c>
      <c r="H1499">
        <v>49</v>
      </c>
      <c r="I1499" s="183" t="s">
        <v>1098</v>
      </c>
      <c r="J1499" s="183" t="s">
        <v>12054</v>
      </c>
      <c r="K1499">
        <v>0</v>
      </c>
      <c r="L1499">
        <v>49</v>
      </c>
    </row>
    <row r="1500" spans="1:12">
      <c r="A1500" s="183" t="s">
        <v>1890</v>
      </c>
      <c r="B1500" s="183" t="s">
        <v>1891</v>
      </c>
      <c r="C1500">
        <v>50232216</v>
      </c>
      <c r="D1500">
        <v>96</v>
      </c>
      <c r="E1500">
        <v>0</v>
      </c>
      <c r="F1500">
        <v>0</v>
      </c>
      <c r="G1500">
        <v>0</v>
      </c>
      <c r="H1500">
        <v>96</v>
      </c>
      <c r="I1500" s="183" t="s">
        <v>1098</v>
      </c>
      <c r="J1500" s="183" t="s">
        <v>12060</v>
      </c>
      <c r="K1500">
        <v>0</v>
      </c>
      <c r="L1500">
        <v>96</v>
      </c>
    </row>
    <row r="1501" spans="1:12">
      <c r="A1501" s="183" t="s">
        <v>8342</v>
      </c>
      <c r="B1501" s="183" t="s">
        <v>8343</v>
      </c>
      <c r="C1501">
        <v>50232316</v>
      </c>
      <c r="D1501">
        <v>23</v>
      </c>
      <c r="E1501">
        <v>0</v>
      </c>
      <c r="F1501">
        <v>0</v>
      </c>
      <c r="G1501">
        <v>0</v>
      </c>
      <c r="H1501">
        <v>23</v>
      </c>
      <c r="I1501" s="183" t="s">
        <v>1098</v>
      </c>
      <c r="J1501" s="183" t="s">
        <v>12056</v>
      </c>
      <c r="K1501">
        <v>0</v>
      </c>
      <c r="L1501">
        <v>23</v>
      </c>
    </row>
    <row r="1502" spans="1:12">
      <c r="A1502" s="183" t="s">
        <v>8447</v>
      </c>
      <c r="B1502" s="183" t="s">
        <v>8448</v>
      </c>
      <c r="C1502">
        <v>50232517</v>
      </c>
      <c r="D1502">
        <v>54</v>
      </c>
      <c r="E1502">
        <v>0</v>
      </c>
      <c r="F1502">
        <v>0</v>
      </c>
      <c r="G1502">
        <v>0</v>
      </c>
      <c r="H1502">
        <v>54</v>
      </c>
      <c r="I1502" s="183" t="s">
        <v>1098</v>
      </c>
      <c r="J1502" s="183" t="s">
        <v>12055</v>
      </c>
      <c r="K1502">
        <v>0</v>
      </c>
      <c r="L1502">
        <v>54</v>
      </c>
    </row>
    <row r="1503" spans="1:12">
      <c r="A1503" s="183" t="s">
        <v>2521</v>
      </c>
      <c r="B1503" s="183" t="s">
        <v>2522</v>
      </c>
      <c r="C1503">
        <v>50234116</v>
      </c>
      <c r="D1503">
        <v>49</v>
      </c>
      <c r="E1503">
        <v>0</v>
      </c>
      <c r="F1503">
        <v>0</v>
      </c>
      <c r="G1503">
        <v>0</v>
      </c>
      <c r="H1503">
        <v>49</v>
      </c>
      <c r="I1503" s="183" t="s">
        <v>1098</v>
      </c>
      <c r="J1503" s="183" t="s">
        <v>12056</v>
      </c>
      <c r="K1503">
        <v>0</v>
      </c>
      <c r="L1503">
        <v>49</v>
      </c>
    </row>
    <row r="1504" spans="1:12">
      <c r="A1504" s="183" t="s">
        <v>2509</v>
      </c>
      <c r="B1504" s="183" t="s">
        <v>2510</v>
      </c>
      <c r="C1504">
        <v>50238215</v>
      </c>
      <c r="D1504">
        <v>37</v>
      </c>
      <c r="E1504">
        <v>0</v>
      </c>
      <c r="F1504">
        <v>0</v>
      </c>
      <c r="G1504">
        <v>0</v>
      </c>
      <c r="H1504">
        <v>37</v>
      </c>
      <c r="I1504" s="183" t="s">
        <v>1098</v>
      </c>
      <c r="J1504" s="183" t="s">
        <v>12054</v>
      </c>
      <c r="K1504">
        <v>0</v>
      </c>
      <c r="L1504">
        <v>37</v>
      </c>
    </row>
    <row r="1505" spans="1:12">
      <c r="A1505" s="183" t="s">
        <v>1538</v>
      </c>
      <c r="B1505" s="183" t="s">
        <v>1539</v>
      </c>
      <c r="C1505">
        <v>50240215</v>
      </c>
      <c r="D1505">
        <v>25</v>
      </c>
      <c r="E1505">
        <v>0</v>
      </c>
      <c r="F1505">
        <v>0</v>
      </c>
      <c r="G1505">
        <v>0</v>
      </c>
      <c r="H1505">
        <v>25</v>
      </c>
      <c r="I1505" s="183" t="s">
        <v>1098</v>
      </c>
      <c r="J1505" s="183" t="s">
        <v>12056</v>
      </c>
      <c r="K1505">
        <v>0</v>
      </c>
      <c r="L1505">
        <v>25</v>
      </c>
    </row>
    <row r="1506" spans="1:12">
      <c r="A1506" s="183" t="s">
        <v>1888</v>
      </c>
      <c r="B1506" s="183" t="s">
        <v>1889</v>
      </c>
      <c r="C1506">
        <v>50240302</v>
      </c>
      <c r="D1506">
        <v>46</v>
      </c>
      <c r="E1506">
        <v>0</v>
      </c>
      <c r="F1506">
        <v>0</v>
      </c>
      <c r="G1506">
        <v>0</v>
      </c>
      <c r="H1506">
        <v>46</v>
      </c>
      <c r="I1506" s="183" t="s">
        <v>1098</v>
      </c>
      <c r="J1506" s="183" t="s">
        <v>12054</v>
      </c>
      <c r="K1506">
        <v>0</v>
      </c>
      <c r="L1506">
        <v>46</v>
      </c>
    </row>
    <row r="1507" spans="1:12">
      <c r="A1507" s="183" t="s">
        <v>8487</v>
      </c>
      <c r="B1507" s="183" t="s">
        <v>8488</v>
      </c>
      <c r="C1507">
        <v>50240310</v>
      </c>
      <c r="D1507">
        <v>33</v>
      </c>
      <c r="E1507">
        <v>0</v>
      </c>
      <c r="F1507">
        <v>0</v>
      </c>
      <c r="G1507">
        <v>0</v>
      </c>
      <c r="H1507">
        <v>33</v>
      </c>
      <c r="I1507" s="183" t="s">
        <v>1098</v>
      </c>
      <c r="J1507" s="183" t="s">
        <v>12054</v>
      </c>
      <c r="K1507">
        <v>0</v>
      </c>
      <c r="L1507">
        <v>33</v>
      </c>
    </row>
    <row r="1508" spans="1:12">
      <c r="A1508" s="183" t="s">
        <v>8186</v>
      </c>
      <c r="B1508" s="183" t="s">
        <v>8187</v>
      </c>
      <c r="C1508">
        <v>50240417</v>
      </c>
      <c r="D1508">
        <v>50</v>
      </c>
      <c r="E1508">
        <v>0</v>
      </c>
      <c r="F1508">
        <v>0</v>
      </c>
      <c r="G1508">
        <v>0</v>
      </c>
      <c r="H1508">
        <v>50</v>
      </c>
      <c r="I1508" s="183" t="s">
        <v>1098</v>
      </c>
      <c r="J1508" s="183" t="s">
        <v>12053</v>
      </c>
      <c r="K1508">
        <v>0</v>
      </c>
      <c r="L1508">
        <v>50</v>
      </c>
    </row>
    <row r="1509" spans="1:12">
      <c r="A1509" s="183" t="s">
        <v>138</v>
      </c>
      <c r="B1509" s="183" t="s">
        <v>139</v>
      </c>
      <c r="C1509">
        <v>37178200</v>
      </c>
      <c r="D1509">
        <v>198</v>
      </c>
      <c r="E1509">
        <v>0</v>
      </c>
      <c r="F1509">
        <v>0</v>
      </c>
      <c r="G1509">
        <v>0</v>
      </c>
      <c r="H1509">
        <v>198</v>
      </c>
      <c r="I1509" s="183" t="s">
        <v>1016</v>
      </c>
      <c r="J1509" s="183" t="s">
        <v>12061</v>
      </c>
      <c r="K1509">
        <v>0</v>
      </c>
      <c r="L1509">
        <v>198</v>
      </c>
    </row>
    <row r="1510" spans="1:12">
      <c r="A1510" s="183" t="s">
        <v>3432</v>
      </c>
      <c r="B1510" s="183" t="s">
        <v>3433</v>
      </c>
      <c r="C1510">
        <v>37178204</v>
      </c>
      <c r="D1510">
        <v>540</v>
      </c>
      <c r="E1510">
        <v>0</v>
      </c>
      <c r="F1510">
        <v>0</v>
      </c>
      <c r="G1510">
        <v>0</v>
      </c>
      <c r="H1510">
        <v>540</v>
      </c>
      <c r="I1510" s="183" t="s">
        <v>1016</v>
      </c>
      <c r="J1510" s="183" t="s">
        <v>12057</v>
      </c>
      <c r="K1510">
        <v>0</v>
      </c>
      <c r="L1510">
        <v>540</v>
      </c>
    </row>
    <row r="1511" spans="1:12">
      <c r="A1511" s="183" t="s">
        <v>4042</v>
      </c>
      <c r="B1511" s="183" t="s">
        <v>3978</v>
      </c>
      <c r="C1511">
        <v>8800268998307</v>
      </c>
      <c r="D1511">
        <v>7</v>
      </c>
      <c r="E1511">
        <v>0</v>
      </c>
      <c r="F1511">
        <v>0</v>
      </c>
      <c r="G1511">
        <v>0</v>
      </c>
      <c r="H1511">
        <v>7</v>
      </c>
      <c r="I1511" s="183" t="s">
        <v>3979</v>
      </c>
      <c r="J1511" s="183" t="s">
        <v>12095</v>
      </c>
      <c r="K1511">
        <v>0</v>
      </c>
      <c r="L1511">
        <v>7</v>
      </c>
    </row>
    <row r="1512" spans="1:12">
      <c r="A1512" s="183" t="s">
        <v>4262</v>
      </c>
      <c r="B1512" s="183" t="s">
        <v>3978</v>
      </c>
      <c r="C1512">
        <v>8800268998314</v>
      </c>
      <c r="D1512">
        <v>201</v>
      </c>
      <c r="E1512">
        <v>0</v>
      </c>
      <c r="F1512">
        <v>0</v>
      </c>
      <c r="G1512">
        <v>0</v>
      </c>
      <c r="H1512">
        <v>201</v>
      </c>
      <c r="I1512" s="183" t="s">
        <v>3979</v>
      </c>
      <c r="J1512" s="183" t="s">
        <v>12085</v>
      </c>
      <c r="K1512">
        <v>0</v>
      </c>
      <c r="L1512">
        <v>201</v>
      </c>
    </row>
    <row r="1513" spans="1:12">
      <c r="A1513" s="183" t="s">
        <v>4263</v>
      </c>
      <c r="B1513" s="183" t="s">
        <v>3978</v>
      </c>
      <c r="C1513">
        <v>8800268998499</v>
      </c>
      <c r="D1513">
        <v>16</v>
      </c>
      <c r="E1513">
        <v>0</v>
      </c>
      <c r="F1513">
        <v>0</v>
      </c>
      <c r="G1513">
        <v>0</v>
      </c>
      <c r="H1513">
        <v>16</v>
      </c>
      <c r="I1513" s="183" t="s">
        <v>3979</v>
      </c>
      <c r="J1513" s="183" t="s">
        <v>12091</v>
      </c>
      <c r="K1513">
        <v>0</v>
      </c>
      <c r="L1513">
        <v>16</v>
      </c>
    </row>
    <row r="1514" spans="1:12">
      <c r="A1514" s="183" t="s">
        <v>4139</v>
      </c>
      <c r="B1514" s="183" t="s">
        <v>3978</v>
      </c>
      <c r="C1514">
        <v>8800268998505</v>
      </c>
      <c r="D1514">
        <v>184</v>
      </c>
      <c r="E1514">
        <v>0</v>
      </c>
      <c r="F1514">
        <v>0</v>
      </c>
      <c r="G1514">
        <v>0</v>
      </c>
      <c r="H1514">
        <v>184</v>
      </c>
      <c r="I1514" s="183" t="s">
        <v>3979</v>
      </c>
      <c r="J1514" s="183" t="s">
        <v>12093</v>
      </c>
      <c r="K1514">
        <v>0</v>
      </c>
      <c r="L1514">
        <v>184</v>
      </c>
    </row>
    <row r="1515" spans="1:12">
      <c r="A1515" s="183" t="s">
        <v>4264</v>
      </c>
      <c r="B1515" s="183" t="s">
        <v>3978</v>
      </c>
      <c r="C1515">
        <v>8800268998611</v>
      </c>
      <c r="D1515">
        <v>146</v>
      </c>
      <c r="E1515">
        <v>0</v>
      </c>
      <c r="F1515">
        <v>0</v>
      </c>
      <c r="G1515">
        <v>0</v>
      </c>
      <c r="H1515">
        <v>146</v>
      </c>
      <c r="I1515" s="183" t="s">
        <v>3979</v>
      </c>
      <c r="J1515" s="183" t="s">
        <v>12093</v>
      </c>
      <c r="K1515">
        <v>0</v>
      </c>
      <c r="L1515">
        <v>146</v>
      </c>
    </row>
    <row r="1516" spans="1:12">
      <c r="A1516" s="183" t="s">
        <v>4238</v>
      </c>
      <c r="B1516" s="183" t="s">
        <v>3978</v>
      </c>
      <c r="C1516">
        <v>8800268998697</v>
      </c>
      <c r="D1516">
        <v>69</v>
      </c>
      <c r="E1516">
        <v>0</v>
      </c>
      <c r="F1516">
        <v>0</v>
      </c>
      <c r="G1516">
        <v>0</v>
      </c>
      <c r="H1516">
        <v>69</v>
      </c>
      <c r="I1516" s="183" t="s">
        <v>3979</v>
      </c>
      <c r="J1516" s="183" t="s">
        <v>12067</v>
      </c>
      <c r="K1516">
        <v>0</v>
      </c>
      <c r="L1516">
        <v>69</v>
      </c>
    </row>
    <row r="1517" spans="1:12">
      <c r="A1517" s="183" t="s">
        <v>3989</v>
      </c>
      <c r="B1517" s="183" t="s">
        <v>3978</v>
      </c>
      <c r="C1517">
        <v>8800268998741</v>
      </c>
      <c r="D1517">
        <v>34</v>
      </c>
      <c r="E1517">
        <v>0</v>
      </c>
      <c r="F1517">
        <v>0</v>
      </c>
      <c r="G1517">
        <v>0</v>
      </c>
      <c r="H1517">
        <v>34</v>
      </c>
      <c r="I1517" s="183" t="s">
        <v>3979</v>
      </c>
      <c r="J1517" s="183" t="s">
        <v>12053</v>
      </c>
      <c r="K1517">
        <v>0</v>
      </c>
      <c r="L1517">
        <v>34</v>
      </c>
    </row>
    <row r="1518" spans="1:12">
      <c r="A1518" s="183" t="s">
        <v>4070</v>
      </c>
      <c r="B1518" s="183" t="s">
        <v>3978</v>
      </c>
      <c r="C1518">
        <v>8800268998888</v>
      </c>
      <c r="D1518">
        <v>11</v>
      </c>
      <c r="E1518">
        <v>0</v>
      </c>
      <c r="F1518">
        <v>0</v>
      </c>
      <c r="G1518">
        <v>0</v>
      </c>
      <c r="H1518">
        <v>11</v>
      </c>
      <c r="I1518" s="183" t="s">
        <v>3979</v>
      </c>
      <c r="J1518" s="183" t="s">
        <v>12094</v>
      </c>
      <c r="K1518">
        <v>0</v>
      </c>
      <c r="L1518">
        <v>11</v>
      </c>
    </row>
    <row r="1519" spans="1:12">
      <c r="A1519" s="183" t="s">
        <v>4106</v>
      </c>
      <c r="B1519" s="183" t="s">
        <v>3978</v>
      </c>
      <c r="C1519">
        <v>8800268999205</v>
      </c>
      <c r="D1519">
        <v>7</v>
      </c>
      <c r="E1519">
        <v>0</v>
      </c>
      <c r="F1519">
        <v>0</v>
      </c>
      <c r="G1519">
        <v>0</v>
      </c>
      <c r="H1519">
        <v>7</v>
      </c>
      <c r="I1519" s="183" t="s">
        <v>3979</v>
      </c>
      <c r="J1519" s="183" t="s">
        <v>12066</v>
      </c>
      <c r="K1519">
        <v>0</v>
      </c>
      <c r="L1519">
        <v>7</v>
      </c>
    </row>
    <row r="1520" spans="1:12">
      <c r="A1520" s="183" t="s">
        <v>4082</v>
      </c>
      <c r="B1520" s="183" t="s">
        <v>3978</v>
      </c>
      <c r="C1520">
        <v>8800268999212</v>
      </c>
      <c r="D1520">
        <v>67</v>
      </c>
      <c r="E1520">
        <v>0</v>
      </c>
      <c r="F1520">
        <v>0</v>
      </c>
      <c r="G1520">
        <v>0</v>
      </c>
      <c r="H1520">
        <v>67</v>
      </c>
      <c r="I1520" s="183" t="s">
        <v>3979</v>
      </c>
      <c r="J1520" s="183" t="s">
        <v>12066</v>
      </c>
      <c r="K1520">
        <v>0</v>
      </c>
      <c r="L1520">
        <v>67</v>
      </c>
    </row>
    <row r="1521" spans="1:12">
      <c r="A1521" s="183" t="s">
        <v>4239</v>
      </c>
      <c r="B1521" s="183" t="s">
        <v>3978</v>
      </c>
      <c r="C1521">
        <v>8800268999298</v>
      </c>
      <c r="D1521">
        <v>32</v>
      </c>
      <c r="E1521">
        <v>0</v>
      </c>
      <c r="F1521">
        <v>0</v>
      </c>
      <c r="G1521">
        <v>0</v>
      </c>
      <c r="H1521">
        <v>32</v>
      </c>
      <c r="I1521" s="183" t="s">
        <v>3979</v>
      </c>
      <c r="J1521" s="183" t="s">
        <v>12059</v>
      </c>
      <c r="K1521">
        <v>0</v>
      </c>
      <c r="L1521">
        <v>32</v>
      </c>
    </row>
    <row r="1522" spans="1:12">
      <c r="A1522" s="183" t="s">
        <v>4274</v>
      </c>
      <c r="B1522" s="183" t="s">
        <v>3978</v>
      </c>
      <c r="C1522">
        <v>8800268999519</v>
      </c>
      <c r="D1522">
        <v>20</v>
      </c>
      <c r="E1522">
        <v>0</v>
      </c>
      <c r="F1522">
        <v>0</v>
      </c>
      <c r="G1522">
        <v>0</v>
      </c>
      <c r="H1522">
        <v>20</v>
      </c>
      <c r="I1522" s="183" t="s">
        <v>3979</v>
      </c>
      <c r="J1522" s="183" t="s">
        <v>12048</v>
      </c>
      <c r="K1522">
        <v>0</v>
      </c>
      <c r="L1522">
        <v>20</v>
      </c>
    </row>
    <row r="1523" spans="1:12">
      <c r="A1523" s="183" t="s">
        <v>4275</v>
      </c>
      <c r="B1523" s="183" t="s">
        <v>3978</v>
      </c>
      <c r="C1523">
        <v>8800268999663</v>
      </c>
      <c r="D1523">
        <v>10</v>
      </c>
      <c r="E1523">
        <v>0</v>
      </c>
      <c r="F1523">
        <v>0</v>
      </c>
      <c r="G1523">
        <v>0</v>
      </c>
      <c r="H1523">
        <v>10</v>
      </c>
      <c r="I1523" s="183" t="s">
        <v>3979</v>
      </c>
      <c r="J1523" s="183" t="s">
        <v>12095</v>
      </c>
      <c r="K1523">
        <v>0</v>
      </c>
      <c r="L1523">
        <v>10</v>
      </c>
    </row>
    <row r="1524" spans="1:12">
      <c r="A1524" s="183" t="s">
        <v>4017</v>
      </c>
      <c r="B1524" s="183" t="s">
        <v>3978</v>
      </c>
      <c r="C1524">
        <v>8800268999953</v>
      </c>
      <c r="D1524">
        <v>2</v>
      </c>
      <c r="E1524">
        <v>0</v>
      </c>
      <c r="F1524">
        <v>0</v>
      </c>
      <c r="G1524">
        <v>0</v>
      </c>
      <c r="H1524">
        <v>2</v>
      </c>
      <c r="I1524" s="183" t="s">
        <v>3979</v>
      </c>
      <c r="J1524" s="183" t="s">
        <v>12093</v>
      </c>
      <c r="K1524">
        <v>0</v>
      </c>
      <c r="L1524">
        <v>2</v>
      </c>
    </row>
    <row r="1525" spans="1:12">
      <c r="A1525" s="183" t="s">
        <v>4107</v>
      </c>
      <c r="B1525" s="183" t="s">
        <v>3978</v>
      </c>
      <c r="C1525">
        <v>8800268999977</v>
      </c>
      <c r="D1525">
        <v>7</v>
      </c>
      <c r="E1525">
        <v>0</v>
      </c>
      <c r="F1525">
        <v>0</v>
      </c>
      <c r="G1525">
        <v>0</v>
      </c>
      <c r="H1525">
        <v>7</v>
      </c>
      <c r="I1525" s="183" t="s">
        <v>3979</v>
      </c>
      <c r="J1525" s="183" t="s">
        <v>12094</v>
      </c>
      <c r="K1525">
        <v>0</v>
      </c>
      <c r="L1525">
        <v>7</v>
      </c>
    </row>
    <row r="1526" spans="1:12">
      <c r="A1526" s="183" t="s">
        <v>4276</v>
      </c>
      <c r="B1526" s="183" t="s">
        <v>3978</v>
      </c>
      <c r="C1526">
        <v>8800269000078</v>
      </c>
      <c r="D1526">
        <v>254</v>
      </c>
      <c r="E1526">
        <v>0</v>
      </c>
      <c r="F1526">
        <v>0</v>
      </c>
      <c r="G1526">
        <v>0</v>
      </c>
      <c r="H1526">
        <v>254</v>
      </c>
      <c r="I1526" s="183" t="s">
        <v>3979</v>
      </c>
      <c r="J1526" s="183" t="s">
        <v>12092</v>
      </c>
      <c r="K1526">
        <v>0</v>
      </c>
      <c r="L1526">
        <v>254</v>
      </c>
    </row>
    <row r="1527" spans="1:12">
      <c r="A1527" s="183" t="s">
        <v>4090</v>
      </c>
      <c r="B1527" s="183" t="s">
        <v>3978</v>
      </c>
      <c r="C1527">
        <v>8800269000252</v>
      </c>
      <c r="D1527">
        <v>8</v>
      </c>
      <c r="E1527">
        <v>0</v>
      </c>
      <c r="F1527">
        <v>0</v>
      </c>
      <c r="G1527">
        <v>0</v>
      </c>
      <c r="H1527">
        <v>8</v>
      </c>
      <c r="I1527" s="183" t="s">
        <v>3979</v>
      </c>
      <c r="J1527" s="183" t="s">
        <v>12053</v>
      </c>
      <c r="K1527">
        <v>0</v>
      </c>
      <c r="L1527">
        <v>8</v>
      </c>
    </row>
    <row r="1528" spans="1:12">
      <c r="A1528" s="183" t="s">
        <v>4240</v>
      </c>
      <c r="B1528" s="183" t="s">
        <v>3978</v>
      </c>
      <c r="C1528">
        <v>8800269000269</v>
      </c>
      <c r="D1528">
        <v>8</v>
      </c>
      <c r="E1528">
        <v>0</v>
      </c>
      <c r="F1528">
        <v>0</v>
      </c>
      <c r="G1528">
        <v>0</v>
      </c>
      <c r="H1528">
        <v>8</v>
      </c>
      <c r="I1528" s="183" t="s">
        <v>3979</v>
      </c>
      <c r="J1528" s="183" t="s">
        <v>12092</v>
      </c>
      <c r="K1528">
        <v>0</v>
      </c>
      <c r="L1528">
        <v>8</v>
      </c>
    </row>
    <row r="1529" spans="1:12">
      <c r="A1529" s="183" t="s">
        <v>4165</v>
      </c>
      <c r="B1529" s="183" t="s">
        <v>3978</v>
      </c>
      <c r="C1529">
        <v>8800269000337</v>
      </c>
      <c r="D1529">
        <v>25</v>
      </c>
      <c r="E1529">
        <v>0</v>
      </c>
      <c r="F1529">
        <v>0</v>
      </c>
      <c r="G1529">
        <v>0</v>
      </c>
      <c r="H1529">
        <v>25</v>
      </c>
      <c r="I1529" s="183" t="s">
        <v>3979</v>
      </c>
      <c r="J1529" s="183" t="s">
        <v>12094</v>
      </c>
      <c r="K1529">
        <v>0</v>
      </c>
      <c r="L1529">
        <v>25</v>
      </c>
    </row>
    <row r="1530" spans="1:12">
      <c r="A1530" s="183" t="s">
        <v>4109</v>
      </c>
      <c r="B1530" s="183" t="s">
        <v>3978</v>
      </c>
      <c r="C1530">
        <v>8800269000344</v>
      </c>
      <c r="D1530">
        <v>40</v>
      </c>
      <c r="E1530">
        <v>0</v>
      </c>
      <c r="F1530">
        <v>0</v>
      </c>
      <c r="G1530">
        <v>0</v>
      </c>
      <c r="H1530">
        <v>40</v>
      </c>
      <c r="I1530" s="183" t="s">
        <v>3979</v>
      </c>
      <c r="J1530" s="183" t="s">
        <v>12053</v>
      </c>
      <c r="K1530">
        <v>0</v>
      </c>
      <c r="L1530">
        <v>40</v>
      </c>
    </row>
    <row r="1531" spans="1:12">
      <c r="A1531" s="183" t="s">
        <v>4166</v>
      </c>
      <c r="B1531" s="183" t="s">
        <v>3978</v>
      </c>
      <c r="C1531">
        <v>8800269000436</v>
      </c>
      <c r="D1531">
        <v>10</v>
      </c>
      <c r="E1531">
        <v>0</v>
      </c>
      <c r="F1531">
        <v>0</v>
      </c>
      <c r="G1531">
        <v>0</v>
      </c>
      <c r="H1531">
        <v>10</v>
      </c>
      <c r="I1531" s="183" t="s">
        <v>3979</v>
      </c>
      <c r="J1531" s="183" t="s">
        <v>12092</v>
      </c>
      <c r="K1531">
        <v>0</v>
      </c>
      <c r="L1531">
        <v>10</v>
      </c>
    </row>
    <row r="1532" spans="1:12">
      <c r="A1532" s="183" t="s">
        <v>4083</v>
      </c>
      <c r="B1532" s="183" t="s">
        <v>3978</v>
      </c>
      <c r="C1532">
        <v>8800269000597</v>
      </c>
      <c r="D1532">
        <v>27</v>
      </c>
      <c r="E1532">
        <v>0</v>
      </c>
      <c r="F1532">
        <v>0</v>
      </c>
      <c r="G1532">
        <v>0</v>
      </c>
      <c r="H1532">
        <v>27</v>
      </c>
      <c r="I1532" s="183" t="s">
        <v>3979</v>
      </c>
      <c r="J1532" s="183" t="s">
        <v>12091</v>
      </c>
      <c r="K1532">
        <v>0</v>
      </c>
      <c r="L1532">
        <v>27</v>
      </c>
    </row>
    <row r="1533" spans="1:12">
      <c r="A1533" s="183" t="s">
        <v>4167</v>
      </c>
      <c r="B1533" s="183" t="s">
        <v>3978</v>
      </c>
      <c r="C1533">
        <v>8800269000719</v>
      </c>
      <c r="D1533">
        <v>56</v>
      </c>
      <c r="E1533">
        <v>0</v>
      </c>
      <c r="F1533">
        <v>0</v>
      </c>
      <c r="G1533">
        <v>0</v>
      </c>
      <c r="H1533">
        <v>56</v>
      </c>
      <c r="I1533" s="183" t="s">
        <v>3979</v>
      </c>
      <c r="J1533" s="183" t="s">
        <v>12060</v>
      </c>
      <c r="K1533">
        <v>0</v>
      </c>
      <c r="L1533">
        <v>56</v>
      </c>
    </row>
    <row r="1534" spans="1:12">
      <c r="A1534" s="183" t="s">
        <v>4102</v>
      </c>
      <c r="B1534" s="183" t="s">
        <v>3978</v>
      </c>
      <c r="C1534">
        <v>8800269000726</v>
      </c>
      <c r="D1534">
        <v>133</v>
      </c>
      <c r="E1534">
        <v>0</v>
      </c>
      <c r="F1534">
        <v>0</v>
      </c>
      <c r="G1534">
        <v>0</v>
      </c>
      <c r="H1534">
        <v>133</v>
      </c>
      <c r="I1534" s="183" t="s">
        <v>3979</v>
      </c>
      <c r="J1534" s="183" t="s">
        <v>12091</v>
      </c>
      <c r="K1534">
        <v>0</v>
      </c>
      <c r="L1534">
        <v>133</v>
      </c>
    </row>
    <row r="1535" spans="1:12">
      <c r="A1535" s="183" t="s">
        <v>4133</v>
      </c>
      <c r="B1535" s="183" t="s">
        <v>3978</v>
      </c>
      <c r="C1535">
        <v>8800269000740</v>
      </c>
      <c r="D1535">
        <v>39</v>
      </c>
      <c r="E1535">
        <v>0</v>
      </c>
      <c r="F1535">
        <v>0</v>
      </c>
      <c r="G1535">
        <v>0</v>
      </c>
      <c r="H1535">
        <v>39</v>
      </c>
      <c r="I1535" s="183" t="s">
        <v>3979</v>
      </c>
      <c r="J1535" s="183" t="s">
        <v>12063</v>
      </c>
      <c r="K1535">
        <v>0</v>
      </c>
      <c r="L1535">
        <v>39</v>
      </c>
    </row>
    <row r="1536" spans="1:12">
      <c r="A1536" s="183" t="s">
        <v>4277</v>
      </c>
      <c r="B1536" s="183" t="s">
        <v>3978</v>
      </c>
      <c r="C1536">
        <v>8800269000771</v>
      </c>
      <c r="D1536">
        <v>41</v>
      </c>
      <c r="E1536">
        <v>0</v>
      </c>
      <c r="F1536">
        <v>0</v>
      </c>
      <c r="G1536">
        <v>0</v>
      </c>
      <c r="H1536">
        <v>41</v>
      </c>
      <c r="I1536" s="183" t="s">
        <v>3979</v>
      </c>
      <c r="J1536" s="183" t="s">
        <v>12048</v>
      </c>
      <c r="K1536">
        <v>0</v>
      </c>
      <c r="L1536">
        <v>41</v>
      </c>
    </row>
    <row r="1537" spans="1:12">
      <c r="A1537" s="183" t="s">
        <v>4241</v>
      </c>
      <c r="B1537" s="183" t="s">
        <v>3978</v>
      </c>
      <c r="C1537">
        <v>8800269000832</v>
      </c>
      <c r="D1537">
        <v>19</v>
      </c>
      <c r="E1537">
        <v>0</v>
      </c>
      <c r="F1537">
        <v>0</v>
      </c>
      <c r="G1537">
        <v>0</v>
      </c>
      <c r="H1537">
        <v>19</v>
      </c>
      <c r="I1537" s="183" t="s">
        <v>3979</v>
      </c>
      <c r="J1537" s="183" t="s">
        <v>12081</v>
      </c>
      <c r="K1537">
        <v>0</v>
      </c>
      <c r="L1537">
        <v>19</v>
      </c>
    </row>
    <row r="1538" spans="1:12">
      <c r="A1538" s="183" t="s">
        <v>3988</v>
      </c>
      <c r="B1538" s="183" t="s">
        <v>3978</v>
      </c>
      <c r="C1538">
        <v>8800269000894</v>
      </c>
      <c r="D1538">
        <v>27</v>
      </c>
      <c r="E1538">
        <v>0</v>
      </c>
      <c r="F1538">
        <v>0</v>
      </c>
      <c r="G1538">
        <v>0</v>
      </c>
      <c r="H1538">
        <v>27</v>
      </c>
      <c r="I1538" s="183" t="s">
        <v>3979</v>
      </c>
      <c r="J1538" s="183" t="s">
        <v>12093</v>
      </c>
      <c r="K1538">
        <v>0</v>
      </c>
      <c r="L1538">
        <v>27</v>
      </c>
    </row>
    <row r="1539" spans="1:12">
      <c r="A1539" s="183" t="s">
        <v>4188</v>
      </c>
      <c r="B1539" s="183" t="s">
        <v>3978</v>
      </c>
      <c r="C1539">
        <v>8800269000917</v>
      </c>
      <c r="D1539">
        <v>109</v>
      </c>
      <c r="E1539">
        <v>0</v>
      </c>
      <c r="F1539">
        <v>0</v>
      </c>
      <c r="G1539">
        <v>0</v>
      </c>
      <c r="H1539">
        <v>109</v>
      </c>
      <c r="I1539" s="183" t="s">
        <v>3979</v>
      </c>
      <c r="J1539" s="183" t="s">
        <v>12094</v>
      </c>
      <c r="K1539">
        <v>0</v>
      </c>
      <c r="L1539">
        <v>109</v>
      </c>
    </row>
    <row r="1540" spans="1:12">
      <c r="A1540" s="183" t="s">
        <v>3980</v>
      </c>
      <c r="B1540" s="183" t="s">
        <v>3978</v>
      </c>
      <c r="C1540">
        <v>8800269000986</v>
      </c>
      <c r="D1540">
        <v>36</v>
      </c>
      <c r="E1540">
        <v>0</v>
      </c>
      <c r="F1540">
        <v>0</v>
      </c>
      <c r="G1540">
        <v>0</v>
      </c>
      <c r="H1540">
        <v>36</v>
      </c>
      <c r="I1540" s="183" t="s">
        <v>3979</v>
      </c>
      <c r="J1540" s="183" t="s">
        <v>12094</v>
      </c>
      <c r="K1540">
        <v>0</v>
      </c>
      <c r="L1540">
        <v>36</v>
      </c>
    </row>
    <row r="1541" spans="1:12">
      <c r="A1541" s="183" t="s">
        <v>4278</v>
      </c>
      <c r="B1541" s="183" t="s">
        <v>3978</v>
      </c>
      <c r="C1541">
        <v>8800269001075</v>
      </c>
      <c r="D1541">
        <v>43</v>
      </c>
      <c r="E1541">
        <v>0</v>
      </c>
      <c r="F1541">
        <v>0</v>
      </c>
      <c r="G1541">
        <v>0</v>
      </c>
      <c r="H1541">
        <v>43</v>
      </c>
      <c r="I1541" s="183" t="s">
        <v>3979</v>
      </c>
      <c r="J1541" s="183" t="s">
        <v>12093</v>
      </c>
      <c r="K1541">
        <v>0</v>
      </c>
      <c r="L1541">
        <v>43</v>
      </c>
    </row>
    <row r="1542" spans="1:12">
      <c r="A1542" s="183" t="s">
        <v>4198</v>
      </c>
      <c r="B1542" s="183" t="s">
        <v>3978</v>
      </c>
      <c r="C1542">
        <v>8800269001129</v>
      </c>
      <c r="D1542">
        <v>73</v>
      </c>
      <c r="E1542">
        <v>0</v>
      </c>
      <c r="F1542">
        <v>0</v>
      </c>
      <c r="G1542">
        <v>0</v>
      </c>
      <c r="H1542">
        <v>73</v>
      </c>
      <c r="I1542" s="183" t="s">
        <v>3979</v>
      </c>
      <c r="J1542" s="183" t="s">
        <v>12048</v>
      </c>
      <c r="K1542">
        <v>0</v>
      </c>
      <c r="L1542">
        <v>73</v>
      </c>
    </row>
    <row r="1543" spans="1:12">
      <c r="A1543" s="183" t="s">
        <v>4242</v>
      </c>
      <c r="B1543" s="183" t="s">
        <v>3978</v>
      </c>
      <c r="C1543">
        <v>8800269001150</v>
      </c>
      <c r="D1543">
        <v>27</v>
      </c>
      <c r="E1543">
        <v>0</v>
      </c>
      <c r="F1543">
        <v>0</v>
      </c>
      <c r="G1543">
        <v>0</v>
      </c>
      <c r="H1543">
        <v>27</v>
      </c>
      <c r="I1543" s="183" t="s">
        <v>3979</v>
      </c>
      <c r="J1543" s="183" t="s">
        <v>12093</v>
      </c>
      <c r="K1543">
        <v>0</v>
      </c>
      <c r="L1543">
        <v>27</v>
      </c>
    </row>
    <row r="1544" spans="1:12">
      <c r="A1544" s="183" t="s">
        <v>4089</v>
      </c>
      <c r="B1544" s="183" t="s">
        <v>3978</v>
      </c>
      <c r="C1544">
        <v>8800269001181</v>
      </c>
      <c r="D1544">
        <v>105</v>
      </c>
      <c r="E1544">
        <v>0</v>
      </c>
      <c r="F1544">
        <v>0</v>
      </c>
      <c r="G1544">
        <v>0</v>
      </c>
      <c r="H1544">
        <v>105</v>
      </c>
      <c r="I1544" s="183" t="s">
        <v>3979</v>
      </c>
      <c r="J1544" s="183" t="s">
        <v>12067</v>
      </c>
      <c r="K1544">
        <v>0</v>
      </c>
      <c r="L1544">
        <v>105</v>
      </c>
    </row>
    <row r="1545" spans="1:12">
      <c r="A1545" s="183" t="s">
        <v>4641</v>
      </c>
      <c r="B1545" s="183" t="s">
        <v>3978</v>
      </c>
      <c r="C1545">
        <v>8800269001273</v>
      </c>
      <c r="D1545">
        <v>32</v>
      </c>
      <c r="E1545">
        <v>0</v>
      </c>
      <c r="F1545">
        <v>0</v>
      </c>
      <c r="G1545">
        <v>0</v>
      </c>
      <c r="H1545">
        <v>32</v>
      </c>
      <c r="I1545" s="183" t="s">
        <v>3979</v>
      </c>
      <c r="J1545" s="183" t="s">
        <v>12081</v>
      </c>
      <c r="K1545">
        <v>0</v>
      </c>
      <c r="L1545">
        <v>32</v>
      </c>
    </row>
    <row r="1546" spans="1:12">
      <c r="A1546" s="183" t="s">
        <v>4184</v>
      </c>
      <c r="B1546" s="183" t="s">
        <v>3978</v>
      </c>
      <c r="C1546">
        <v>8800269001303</v>
      </c>
      <c r="D1546">
        <v>7</v>
      </c>
      <c r="E1546">
        <v>0</v>
      </c>
      <c r="F1546">
        <v>0</v>
      </c>
      <c r="G1546">
        <v>0</v>
      </c>
      <c r="H1546">
        <v>7</v>
      </c>
      <c r="I1546" s="183" t="s">
        <v>3979</v>
      </c>
      <c r="J1546" s="183" t="s">
        <v>12081</v>
      </c>
      <c r="K1546">
        <v>0</v>
      </c>
      <c r="L1546">
        <v>7</v>
      </c>
    </row>
    <row r="1547" spans="1:12">
      <c r="A1547" s="183" t="s">
        <v>4069</v>
      </c>
      <c r="B1547" s="183" t="s">
        <v>3978</v>
      </c>
      <c r="C1547">
        <v>8800269001365</v>
      </c>
      <c r="D1547">
        <v>68</v>
      </c>
      <c r="E1547">
        <v>0</v>
      </c>
      <c r="F1547">
        <v>0</v>
      </c>
      <c r="G1547">
        <v>0</v>
      </c>
      <c r="H1547">
        <v>68</v>
      </c>
      <c r="I1547" s="183" t="s">
        <v>3979</v>
      </c>
      <c r="J1547" s="183" t="s">
        <v>12085</v>
      </c>
      <c r="K1547">
        <v>0</v>
      </c>
      <c r="L1547">
        <v>68</v>
      </c>
    </row>
    <row r="1548" spans="1:12">
      <c r="A1548" s="183" t="s">
        <v>4071</v>
      </c>
      <c r="B1548" s="183" t="s">
        <v>3978</v>
      </c>
      <c r="C1548">
        <v>8800269001440</v>
      </c>
      <c r="D1548">
        <v>40</v>
      </c>
      <c r="E1548">
        <v>0</v>
      </c>
      <c r="F1548">
        <v>0</v>
      </c>
      <c r="G1548">
        <v>0</v>
      </c>
      <c r="H1548">
        <v>40</v>
      </c>
      <c r="I1548" s="183" t="s">
        <v>3979</v>
      </c>
      <c r="J1548" s="183" t="s">
        <v>12048</v>
      </c>
      <c r="K1548">
        <v>0</v>
      </c>
      <c r="L1548">
        <v>40</v>
      </c>
    </row>
    <row r="1549" spans="1:12">
      <c r="A1549" s="183" t="s">
        <v>4126</v>
      </c>
      <c r="B1549" s="183" t="s">
        <v>3978</v>
      </c>
      <c r="C1549">
        <v>8800269001488</v>
      </c>
      <c r="D1549">
        <v>135</v>
      </c>
      <c r="E1549">
        <v>0</v>
      </c>
      <c r="F1549">
        <v>0</v>
      </c>
      <c r="G1549">
        <v>0</v>
      </c>
      <c r="H1549">
        <v>135</v>
      </c>
      <c r="I1549" s="183" t="s">
        <v>3979</v>
      </c>
      <c r="J1549" s="183" t="s">
        <v>12095</v>
      </c>
      <c r="K1549">
        <v>0</v>
      </c>
      <c r="L1549">
        <v>135</v>
      </c>
    </row>
    <row r="1550" spans="1:12">
      <c r="A1550" s="183" t="s">
        <v>4043</v>
      </c>
      <c r="B1550" s="183" t="s">
        <v>3978</v>
      </c>
      <c r="C1550">
        <v>8800269001495</v>
      </c>
      <c r="D1550">
        <v>58</v>
      </c>
      <c r="E1550">
        <v>0</v>
      </c>
      <c r="F1550">
        <v>0</v>
      </c>
      <c r="G1550">
        <v>0</v>
      </c>
      <c r="H1550">
        <v>58</v>
      </c>
      <c r="I1550" s="183" t="s">
        <v>3979</v>
      </c>
      <c r="J1550" s="183" t="s">
        <v>12095</v>
      </c>
      <c r="K1550">
        <v>0</v>
      </c>
      <c r="L1550">
        <v>58</v>
      </c>
    </row>
    <row r="1551" spans="1:12">
      <c r="A1551" s="183" t="s">
        <v>4243</v>
      </c>
      <c r="B1551" s="183" t="s">
        <v>3978</v>
      </c>
      <c r="C1551">
        <v>8800269001525</v>
      </c>
      <c r="D1551">
        <v>19</v>
      </c>
      <c r="E1551">
        <v>0</v>
      </c>
      <c r="F1551">
        <v>0</v>
      </c>
      <c r="G1551">
        <v>0</v>
      </c>
      <c r="H1551">
        <v>19</v>
      </c>
      <c r="I1551" s="183" t="s">
        <v>3979</v>
      </c>
      <c r="J1551" s="183" t="s">
        <v>12081</v>
      </c>
      <c r="K1551">
        <v>0</v>
      </c>
      <c r="L1551">
        <v>19</v>
      </c>
    </row>
    <row r="1552" spans="1:12">
      <c r="A1552" s="183" t="s">
        <v>4279</v>
      </c>
      <c r="B1552" s="183" t="s">
        <v>3978</v>
      </c>
      <c r="C1552">
        <v>8800269001624</v>
      </c>
      <c r="D1552">
        <v>8</v>
      </c>
      <c r="E1552">
        <v>0</v>
      </c>
      <c r="F1552">
        <v>0</v>
      </c>
      <c r="G1552">
        <v>0</v>
      </c>
      <c r="H1552">
        <v>8</v>
      </c>
      <c r="I1552" s="183" t="s">
        <v>3979</v>
      </c>
      <c r="J1552" s="183" t="s">
        <v>12091</v>
      </c>
      <c r="K1552">
        <v>0</v>
      </c>
      <c r="L1552">
        <v>8</v>
      </c>
    </row>
    <row r="1553" spans="1:12">
      <c r="A1553" s="183" t="s">
        <v>4280</v>
      </c>
      <c r="B1553" s="183" t="s">
        <v>3978</v>
      </c>
      <c r="C1553">
        <v>8800269001822</v>
      </c>
      <c r="D1553">
        <v>48</v>
      </c>
      <c r="E1553">
        <v>0</v>
      </c>
      <c r="F1553">
        <v>0</v>
      </c>
      <c r="G1553">
        <v>0</v>
      </c>
      <c r="H1553">
        <v>48</v>
      </c>
      <c r="I1553" s="183" t="s">
        <v>3979</v>
      </c>
      <c r="J1553" s="183" t="s">
        <v>12059</v>
      </c>
      <c r="K1553">
        <v>0</v>
      </c>
      <c r="L1553">
        <v>48</v>
      </c>
    </row>
    <row r="1554" spans="1:12">
      <c r="A1554" s="183" t="s">
        <v>4634</v>
      </c>
      <c r="B1554" s="183" t="s">
        <v>3978</v>
      </c>
      <c r="C1554">
        <v>8800268999267</v>
      </c>
      <c r="D1554">
        <v>37</v>
      </c>
      <c r="E1554">
        <v>0</v>
      </c>
      <c r="F1554">
        <v>0</v>
      </c>
      <c r="G1554">
        <v>0</v>
      </c>
      <c r="H1554">
        <v>37</v>
      </c>
      <c r="I1554" s="183" t="s">
        <v>3979</v>
      </c>
      <c r="J1554" s="183" t="s">
        <v>12053</v>
      </c>
      <c r="K1554">
        <v>0</v>
      </c>
      <c r="L1554">
        <v>37</v>
      </c>
    </row>
    <row r="1555" spans="1:12">
      <c r="A1555" s="183" t="s">
        <v>4023</v>
      </c>
      <c r="B1555" s="183" t="s">
        <v>3978</v>
      </c>
      <c r="C1555">
        <v>8800268999304</v>
      </c>
      <c r="D1555">
        <v>62</v>
      </c>
      <c r="E1555">
        <v>0</v>
      </c>
      <c r="F1555">
        <v>0</v>
      </c>
      <c r="G1555">
        <v>0</v>
      </c>
      <c r="H1555">
        <v>62</v>
      </c>
      <c r="I1555" s="183" t="s">
        <v>3979</v>
      </c>
      <c r="J1555" s="183" t="s">
        <v>12081</v>
      </c>
      <c r="K1555">
        <v>0</v>
      </c>
      <c r="L1555">
        <v>62</v>
      </c>
    </row>
    <row r="1556" spans="1:12">
      <c r="A1556" s="183" t="s">
        <v>4206</v>
      </c>
      <c r="B1556" s="183" t="s">
        <v>3978</v>
      </c>
      <c r="C1556">
        <v>8800268999342</v>
      </c>
      <c r="D1556">
        <v>16</v>
      </c>
      <c r="E1556">
        <v>0</v>
      </c>
      <c r="F1556">
        <v>0</v>
      </c>
      <c r="G1556">
        <v>0</v>
      </c>
      <c r="H1556">
        <v>16</v>
      </c>
      <c r="I1556" s="183" t="s">
        <v>3979</v>
      </c>
      <c r="J1556" s="183" t="s">
        <v>12087</v>
      </c>
      <c r="K1556">
        <v>0</v>
      </c>
      <c r="L1556">
        <v>16</v>
      </c>
    </row>
    <row r="1557" spans="1:12">
      <c r="A1557" s="183" t="s">
        <v>4073</v>
      </c>
      <c r="B1557" s="183" t="s">
        <v>3978</v>
      </c>
      <c r="C1557">
        <v>8800268999359</v>
      </c>
      <c r="D1557">
        <v>13</v>
      </c>
      <c r="E1557">
        <v>0</v>
      </c>
      <c r="F1557">
        <v>0</v>
      </c>
      <c r="G1557">
        <v>0</v>
      </c>
      <c r="H1557">
        <v>13</v>
      </c>
      <c r="I1557" s="183" t="s">
        <v>3979</v>
      </c>
      <c r="J1557" s="183" t="s">
        <v>12066</v>
      </c>
      <c r="K1557">
        <v>0</v>
      </c>
      <c r="L1557">
        <v>13</v>
      </c>
    </row>
    <row r="1558" spans="1:12">
      <c r="A1558" s="183" t="s">
        <v>4466</v>
      </c>
      <c r="B1558" s="183" t="s">
        <v>3978</v>
      </c>
      <c r="C1558">
        <v>8800268999489</v>
      </c>
      <c r="D1558">
        <v>8</v>
      </c>
      <c r="E1558">
        <v>0</v>
      </c>
      <c r="F1558">
        <v>0</v>
      </c>
      <c r="G1558">
        <v>0</v>
      </c>
      <c r="H1558">
        <v>8</v>
      </c>
      <c r="I1558" s="183" t="s">
        <v>3979</v>
      </c>
      <c r="J1558" s="183" t="s">
        <v>12094</v>
      </c>
      <c r="K1558">
        <v>0</v>
      </c>
      <c r="L1558">
        <v>8</v>
      </c>
    </row>
    <row r="1559" spans="1:12">
      <c r="A1559" s="183" t="s">
        <v>4481</v>
      </c>
      <c r="B1559" s="183" t="s">
        <v>3978</v>
      </c>
      <c r="C1559">
        <v>8800268999540</v>
      </c>
      <c r="D1559">
        <v>101</v>
      </c>
      <c r="E1559">
        <v>0</v>
      </c>
      <c r="F1559">
        <v>0</v>
      </c>
      <c r="G1559">
        <v>0</v>
      </c>
      <c r="H1559">
        <v>101</v>
      </c>
      <c r="I1559" s="183" t="s">
        <v>3979</v>
      </c>
      <c r="J1559" s="183" t="s">
        <v>12048</v>
      </c>
      <c r="K1559">
        <v>0</v>
      </c>
      <c r="L1559">
        <v>101</v>
      </c>
    </row>
    <row r="1560" spans="1:12">
      <c r="A1560" s="183" t="s">
        <v>4074</v>
      </c>
      <c r="B1560" s="183" t="s">
        <v>3978</v>
      </c>
      <c r="C1560">
        <v>8800268999588</v>
      </c>
      <c r="D1560">
        <v>45</v>
      </c>
      <c r="E1560">
        <v>0</v>
      </c>
      <c r="F1560">
        <v>0</v>
      </c>
      <c r="G1560">
        <v>0</v>
      </c>
      <c r="H1560">
        <v>45</v>
      </c>
      <c r="I1560" s="183" t="s">
        <v>3979</v>
      </c>
      <c r="J1560" s="183" t="s">
        <v>12085</v>
      </c>
      <c r="K1560">
        <v>0</v>
      </c>
      <c r="L1560">
        <v>45</v>
      </c>
    </row>
    <row r="1561" spans="1:12">
      <c r="A1561" s="183" t="s">
        <v>4661</v>
      </c>
      <c r="B1561" s="183" t="s">
        <v>3978</v>
      </c>
      <c r="C1561">
        <v>8800268999687</v>
      </c>
      <c r="D1561">
        <v>27</v>
      </c>
      <c r="E1561">
        <v>0</v>
      </c>
      <c r="F1561">
        <v>0</v>
      </c>
      <c r="G1561">
        <v>0</v>
      </c>
      <c r="H1561">
        <v>27</v>
      </c>
      <c r="I1561" s="183" t="s">
        <v>3979</v>
      </c>
      <c r="J1561" s="183" t="s">
        <v>12095</v>
      </c>
      <c r="K1561">
        <v>0</v>
      </c>
      <c r="L1561">
        <v>27</v>
      </c>
    </row>
    <row r="1562" spans="1:12">
      <c r="A1562" s="183" t="s">
        <v>4347</v>
      </c>
      <c r="B1562" s="183" t="s">
        <v>3978</v>
      </c>
      <c r="C1562">
        <v>8800268999786</v>
      </c>
      <c r="D1562">
        <v>5</v>
      </c>
      <c r="E1562">
        <v>0</v>
      </c>
      <c r="F1562">
        <v>0</v>
      </c>
      <c r="G1562">
        <v>0</v>
      </c>
      <c r="H1562">
        <v>5</v>
      </c>
      <c r="I1562" s="183" t="s">
        <v>3979</v>
      </c>
      <c r="J1562" s="183" t="s">
        <v>12053</v>
      </c>
      <c r="K1562">
        <v>0</v>
      </c>
      <c r="L1562">
        <v>5</v>
      </c>
    </row>
    <row r="1563" spans="1:12">
      <c r="A1563" s="183" t="s">
        <v>4007</v>
      </c>
      <c r="B1563" s="183" t="s">
        <v>3978</v>
      </c>
      <c r="C1563">
        <v>8800268999885</v>
      </c>
      <c r="D1563">
        <v>79</v>
      </c>
      <c r="E1563">
        <v>0</v>
      </c>
      <c r="F1563">
        <v>0</v>
      </c>
      <c r="G1563">
        <v>0</v>
      </c>
      <c r="H1563">
        <v>79</v>
      </c>
      <c r="I1563" s="183" t="s">
        <v>3979</v>
      </c>
      <c r="J1563" s="183" t="s">
        <v>12091</v>
      </c>
      <c r="K1563">
        <v>0</v>
      </c>
      <c r="L1563">
        <v>79</v>
      </c>
    </row>
    <row r="1564" spans="1:12">
      <c r="A1564" s="183" t="s">
        <v>4207</v>
      </c>
      <c r="B1564" s="183" t="s">
        <v>3978</v>
      </c>
      <c r="C1564">
        <v>8800268999892</v>
      </c>
      <c r="D1564">
        <v>47</v>
      </c>
      <c r="E1564">
        <v>0</v>
      </c>
      <c r="F1564">
        <v>0</v>
      </c>
      <c r="G1564">
        <v>0</v>
      </c>
      <c r="H1564">
        <v>47</v>
      </c>
      <c r="I1564" s="183" t="s">
        <v>3979</v>
      </c>
      <c r="J1564" s="183" t="s">
        <v>12053</v>
      </c>
      <c r="K1564">
        <v>0</v>
      </c>
      <c r="L1564">
        <v>47</v>
      </c>
    </row>
    <row r="1565" spans="1:12">
      <c r="A1565" s="183" t="s">
        <v>4467</v>
      </c>
      <c r="B1565" s="183" t="s">
        <v>3978</v>
      </c>
      <c r="C1565">
        <v>8800269000030</v>
      </c>
      <c r="D1565">
        <v>77</v>
      </c>
      <c r="E1565">
        <v>0</v>
      </c>
      <c r="F1565">
        <v>0</v>
      </c>
      <c r="G1565">
        <v>0</v>
      </c>
      <c r="H1565">
        <v>77</v>
      </c>
      <c r="I1565" s="183" t="s">
        <v>3979</v>
      </c>
      <c r="J1565" s="183" t="s">
        <v>12093</v>
      </c>
      <c r="K1565">
        <v>0</v>
      </c>
      <c r="L1565">
        <v>77</v>
      </c>
    </row>
    <row r="1566" spans="1:12">
      <c r="A1566" s="183" t="s">
        <v>4256</v>
      </c>
      <c r="B1566" s="183" t="s">
        <v>3978</v>
      </c>
      <c r="C1566">
        <v>8800269000177</v>
      </c>
      <c r="D1566">
        <v>36</v>
      </c>
      <c r="E1566">
        <v>0</v>
      </c>
      <c r="F1566">
        <v>0</v>
      </c>
      <c r="G1566">
        <v>0</v>
      </c>
      <c r="H1566">
        <v>36</v>
      </c>
      <c r="I1566" s="183" t="s">
        <v>3979</v>
      </c>
      <c r="J1566" s="183" t="s">
        <v>12081</v>
      </c>
      <c r="K1566">
        <v>0</v>
      </c>
      <c r="L1566">
        <v>36</v>
      </c>
    </row>
    <row r="1567" spans="1:12">
      <c r="A1567" s="183" t="s">
        <v>4476</v>
      </c>
      <c r="B1567" s="183" t="s">
        <v>3978</v>
      </c>
      <c r="C1567">
        <v>8800269000399</v>
      </c>
      <c r="D1567">
        <v>4</v>
      </c>
      <c r="E1567">
        <v>0</v>
      </c>
      <c r="F1567">
        <v>0</v>
      </c>
      <c r="G1567">
        <v>0</v>
      </c>
      <c r="H1567">
        <v>4</v>
      </c>
      <c r="I1567" s="183" t="s">
        <v>3979</v>
      </c>
      <c r="J1567" s="183" t="s">
        <v>12053</v>
      </c>
      <c r="K1567">
        <v>0</v>
      </c>
      <c r="L1567">
        <v>4</v>
      </c>
    </row>
    <row r="1568" spans="1:12">
      <c r="A1568" s="183" t="s">
        <v>4129</v>
      </c>
      <c r="B1568" s="183" t="s">
        <v>3978</v>
      </c>
      <c r="C1568">
        <v>8800269000481</v>
      </c>
      <c r="D1568">
        <v>10</v>
      </c>
      <c r="E1568">
        <v>0</v>
      </c>
      <c r="F1568">
        <v>0</v>
      </c>
      <c r="G1568">
        <v>0</v>
      </c>
      <c r="H1568">
        <v>10</v>
      </c>
      <c r="I1568" s="183" t="s">
        <v>3979</v>
      </c>
      <c r="J1568" s="183" t="s">
        <v>12059</v>
      </c>
      <c r="K1568">
        <v>0</v>
      </c>
      <c r="L1568">
        <v>10</v>
      </c>
    </row>
    <row r="1569" spans="1:12">
      <c r="A1569" s="183" t="s">
        <v>4208</v>
      </c>
      <c r="B1569" s="183" t="s">
        <v>3978</v>
      </c>
      <c r="C1569">
        <v>8800269000559</v>
      </c>
      <c r="D1569">
        <v>39</v>
      </c>
      <c r="E1569">
        <v>0</v>
      </c>
      <c r="F1569">
        <v>0</v>
      </c>
      <c r="G1569">
        <v>0</v>
      </c>
      <c r="H1569">
        <v>39</v>
      </c>
      <c r="I1569" s="183" t="s">
        <v>3979</v>
      </c>
      <c r="J1569" s="183" t="s">
        <v>12081</v>
      </c>
      <c r="K1569">
        <v>0</v>
      </c>
      <c r="L1569">
        <v>39</v>
      </c>
    </row>
    <row r="1570" spans="1:12">
      <c r="A1570" s="183" t="s">
        <v>4666</v>
      </c>
      <c r="B1570" s="183" t="s">
        <v>3978</v>
      </c>
      <c r="C1570">
        <v>8800269000696</v>
      </c>
      <c r="D1570">
        <v>5</v>
      </c>
      <c r="E1570">
        <v>0</v>
      </c>
      <c r="F1570">
        <v>0</v>
      </c>
      <c r="G1570">
        <v>0</v>
      </c>
      <c r="H1570">
        <v>5</v>
      </c>
      <c r="I1570" s="183" t="s">
        <v>3979</v>
      </c>
      <c r="J1570" s="183" t="s">
        <v>12059</v>
      </c>
      <c r="K1570">
        <v>0</v>
      </c>
      <c r="L1570">
        <v>5</v>
      </c>
    </row>
    <row r="1571" spans="1:12">
      <c r="A1571" s="183" t="s">
        <v>4060</v>
      </c>
      <c r="B1571" s="183" t="s">
        <v>3978</v>
      </c>
      <c r="C1571">
        <v>8800269000702</v>
      </c>
      <c r="D1571">
        <v>44</v>
      </c>
      <c r="E1571">
        <v>0</v>
      </c>
      <c r="F1571">
        <v>0</v>
      </c>
      <c r="G1571">
        <v>0</v>
      </c>
      <c r="H1571">
        <v>44</v>
      </c>
      <c r="I1571" s="183" t="s">
        <v>3979</v>
      </c>
      <c r="J1571" s="183" t="s">
        <v>12052</v>
      </c>
      <c r="K1571">
        <v>0</v>
      </c>
      <c r="L1571">
        <v>44</v>
      </c>
    </row>
    <row r="1572" spans="1:12">
      <c r="A1572" s="183" t="s">
        <v>3995</v>
      </c>
      <c r="B1572" s="183" t="s">
        <v>3978</v>
      </c>
      <c r="C1572">
        <v>8800269000788</v>
      </c>
      <c r="D1572">
        <v>27</v>
      </c>
      <c r="E1572">
        <v>0</v>
      </c>
      <c r="F1572">
        <v>0</v>
      </c>
      <c r="G1572">
        <v>0</v>
      </c>
      <c r="H1572">
        <v>27</v>
      </c>
      <c r="I1572" s="183" t="s">
        <v>3979</v>
      </c>
      <c r="J1572" s="183" t="s">
        <v>12050</v>
      </c>
      <c r="K1572">
        <v>0</v>
      </c>
      <c r="L1572">
        <v>27</v>
      </c>
    </row>
    <row r="1573" spans="1:12">
      <c r="A1573" s="183" t="s">
        <v>4233</v>
      </c>
      <c r="B1573" s="183" t="s">
        <v>3978</v>
      </c>
      <c r="C1573">
        <v>8800269000931</v>
      </c>
      <c r="D1573">
        <v>76</v>
      </c>
      <c r="E1573">
        <v>0</v>
      </c>
      <c r="F1573">
        <v>0</v>
      </c>
      <c r="G1573">
        <v>0</v>
      </c>
      <c r="H1573">
        <v>76</v>
      </c>
      <c r="I1573" s="183" t="s">
        <v>3979</v>
      </c>
      <c r="J1573" s="183" t="s">
        <v>12063</v>
      </c>
      <c r="K1573">
        <v>0</v>
      </c>
      <c r="L1573">
        <v>76</v>
      </c>
    </row>
    <row r="1574" spans="1:12">
      <c r="A1574" s="183" t="s">
        <v>4049</v>
      </c>
      <c r="B1574" s="183" t="s">
        <v>3978</v>
      </c>
      <c r="C1574">
        <v>8800269001037</v>
      </c>
      <c r="D1574">
        <v>5</v>
      </c>
      <c r="E1574">
        <v>0</v>
      </c>
      <c r="F1574">
        <v>0</v>
      </c>
      <c r="G1574">
        <v>0</v>
      </c>
      <c r="H1574">
        <v>5</v>
      </c>
      <c r="I1574" s="183" t="s">
        <v>3979</v>
      </c>
      <c r="J1574" s="183" t="s">
        <v>12085</v>
      </c>
      <c r="K1574">
        <v>0</v>
      </c>
      <c r="L1574">
        <v>5</v>
      </c>
    </row>
    <row r="1575" spans="1:12">
      <c r="A1575" s="183" t="s">
        <v>4234</v>
      </c>
      <c r="B1575" s="183" t="s">
        <v>3978</v>
      </c>
      <c r="C1575">
        <v>8800269001310</v>
      </c>
      <c r="D1575">
        <v>85</v>
      </c>
      <c r="E1575">
        <v>0</v>
      </c>
      <c r="F1575">
        <v>0</v>
      </c>
      <c r="G1575">
        <v>0</v>
      </c>
      <c r="H1575">
        <v>85</v>
      </c>
      <c r="I1575" s="183" t="s">
        <v>3979</v>
      </c>
      <c r="J1575" s="183" t="s">
        <v>12053</v>
      </c>
      <c r="K1575">
        <v>0</v>
      </c>
      <c r="L1575">
        <v>85</v>
      </c>
    </row>
    <row r="1576" spans="1:12">
      <c r="A1576" s="183" t="s">
        <v>4272</v>
      </c>
      <c r="B1576" s="183" t="s">
        <v>3978</v>
      </c>
      <c r="C1576">
        <v>8800269001327</v>
      </c>
      <c r="D1576">
        <v>55</v>
      </c>
      <c r="E1576">
        <v>0</v>
      </c>
      <c r="F1576">
        <v>0</v>
      </c>
      <c r="G1576">
        <v>0</v>
      </c>
      <c r="H1576">
        <v>55</v>
      </c>
      <c r="I1576" s="183" t="s">
        <v>3979</v>
      </c>
      <c r="J1576" s="183" t="s">
        <v>12053</v>
      </c>
      <c r="K1576">
        <v>0</v>
      </c>
      <c r="L1576">
        <v>55</v>
      </c>
    </row>
    <row r="1577" spans="1:12">
      <c r="A1577" s="183" t="s">
        <v>3998</v>
      </c>
      <c r="B1577" s="183" t="s">
        <v>3978</v>
      </c>
      <c r="C1577">
        <v>8800269001358</v>
      </c>
      <c r="D1577">
        <v>73</v>
      </c>
      <c r="E1577">
        <v>0</v>
      </c>
      <c r="F1577">
        <v>0</v>
      </c>
      <c r="G1577">
        <v>0</v>
      </c>
      <c r="H1577">
        <v>73</v>
      </c>
      <c r="I1577" s="183" t="s">
        <v>3979</v>
      </c>
      <c r="J1577" s="183" t="s">
        <v>12092</v>
      </c>
      <c r="K1577">
        <v>0</v>
      </c>
      <c r="L1577">
        <v>73</v>
      </c>
    </row>
    <row r="1578" spans="1:12">
      <c r="A1578" s="183" t="s">
        <v>4093</v>
      </c>
      <c r="B1578" s="183" t="s">
        <v>3978</v>
      </c>
      <c r="C1578">
        <v>8800269001631</v>
      </c>
      <c r="D1578">
        <v>102</v>
      </c>
      <c r="E1578">
        <v>0</v>
      </c>
      <c r="F1578">
        <v>0</v>
      </c>
      <c r="G1578">
        <v>0</v>
      </c>
      <c r="H1578">
        <v>102</v>
      </c>
      <c r="I1578" s="183" t="s">
        <v>3979</v>
      </c>
      <c r="J1578" s="183" t="s">
        <v>12091</v>
      </c>
      <c r="K1578">
        <v>0</v>
      </c>
      <c r="L1578">
        <v>102</v>
      </c>
    </row>
    <row r="1579" spans="1:12">
      <c r="A1579" s="183" t="s">
        <v>4072</v>
      </c>
      <c r="B1579" s="183" t="s">
        <v>3978</v>
      </c>
      <c r="C1579">
        <v>8800269001884</v>
      </c>
      <c r="D1579">
        <v>94</v>
      </c>
      <c r="E1579">
        <v>0</v>
      </c>
      <c r="F1579">
        <v>0</v>
      </c>
      <c r="G1579">
        <v>0</v>
      </c>
      <c r="H1579">
        <v>94</v>
      </c>
      <c r="I1579" s="183" t="s">
        <v>3979</v>
      </c>
      <c r="J1579" s="183" t="s">
        <v>12092</v>
      </c>
      <c r="K1579">
        <v>0</v>
      </c>
      <c r="L1579">
        <v>94</v>
      </c>
    </row>
    <row r="1580" spans="1:12">
      <c r="A1580" s="183" t="s">
        <v>2762</v>
      </c>
      <c r="B1580" s="183" t="s">
        <v>1599</v>
      </c>
      <c r="C1580">
        <v>65100204</v>
      </c>
      <c r="D1580">
        <v>64</v>
      </c>
      <c r="E1580">
        <v>0</v>
      </c>
      <c r="F1580">
        <v>0</v>
      </c>
      <c r="G1580">
        <v>0</v>
      </c>
      <c r="H1580">
        <v>64</v>
      </c>
      <c r="I1580" s="183" t="s">
        <v>1369</v>
      </c>
      <c r="J1580" s="183" t="s">
        <v>12066</v>
      </c>
      <c r="K1580">
        <v>0</v>
      </c>
      <c r="L1580">
        <v>64</v>
      </c>
    </row>
    <row r="1581" spans="1:12">
      <c r="A1581" s="183" t="s">
        <v>2753</v>
      </c>
      <c r="B1581" s="183" t="s">
        <v>1599</v>
      </c>
      <c r="C1581">
        <v>65100205</v>
      </c>
      <c r="D1581">
        <v>95</v>
      </c>
      <c r="E1581">
        <v>0</v>
      </c>
      <c r="F1581">
        <v>0</v>
      </c>
      <c r="G1581">
        <v>0</v>
      </c>
      <c r="H1581">
        <v>95</v>
      </c>
      <c r="I1581" s="183" t="s">
        <v>1369</v>
      </c>
      <c r="J1581" s="183" t="s">
        <v>12055</v>
      </c>
      <c r="K1581">
        <v>0</v>
      </c>
      <c r="L1581">
        <v>95</v>
      </c>
    </row>
    <row r="1582" spans="1:12">
      <c r="A1582" s="183" t="s">
        <v>2805</v>
      </c>
      <c r="B1582" s="183" t="s">
        <v>1837</v>
      </c>
      <c r="C1582">
        <v>65100213</v>
      </c>
      <c r="D1582">
        <v>23</v>
      </c>
      <c r="E1582">
        <v>0</v>
      </c>
      <c r="F1582">
        <v>0</v>
      </c>
      <c r="G1582">
        <v>0</v>
      </c>
      <c r="H1582">
        <v>23</v>
      </c>
      <c r="I1582" s="183" t="s">
        <v>1369</v>
      </c>
      <c r="J1582" s="183" t="s">
        <v>12059</v>
      </c>
      <c r="K1582">
        <v>0</v>
      </c>
      <c r="L1582">
        <v>23</v>
      </c>
    </row>
    <row r="1583" spans="1:12">
      <c r="A1583" s="183" t="s">
        <v>2773</v>
      </c>
      <c r="B1583" s="183" t="s">
        <v>1837</v>
      </c>
      <c r="C1583">
        <v>65100214</v>
      </c>
      <c r="D1583">
        <v>22</v>
      </c>
      <c r="E1583">
        <v>0</v>
      </c>
      <c r="F1583">
        <v>0</v>
      </c>
      <c r="G1583">
        <v>0</v>
      </c>
      <c r="H1583">
        <v>22</v>
      </c>
      <c r="I1583" s="183" t="s">
        <v>1369</v>
      </c>
      <c r="J1583" s="183" t="s">
        <v>12061</v>
      </c>
      <c r="K1583">
        <v>0</v>
      </c>
      <c r="L1583">
        <v>22</v>
      </c>
    </row>
    <row r="1584" spans="1:12">
      <c r="A1584" s="183" t="s">
        <v>4717</v>
      </c>
      <c r="B1584" s="183" t="s">
        <v>4718</v>
      </c>
      <c r="C1584">
        <v>8800308225837</v>
      </c>
      <c r="D1584">
        <v>176</v>
      </c>
      <c r="E1584">
        <v>0</v>
      </c>
      <c r="F1584">
        <v>0</v>
      </c>
      <c r="G1584">
        <v>0</v>
      </c>
      <c r="H1584">
        <v>176</v>
      </c>
      <c r="I1584" s="183" t="s">
        <v>4719</v>
      </c>
      <c r="J1584" s="183" t="s">
        <v>12053</v>
      </c>
      <c r="K1584">
        <v>0</v>
      </c>
      <c r="L1584">
        <v>176</v>
      </c>
    </row>
    <row r="1585" spans="1:12">
      <c r="A1585" s="183" t="s">
        <v>4680</v>
      </c>
      <c r="B1585" s="183" t="s">
        <v>4673</v>
      </c>
      <c r="C1585">
        <v>8800308226001</v>
      </c>
      <c r="D1585">
        <v>157</v>
      </c>
      <c r="E1585">
        <v>0</v>
      </c>
      <c r="F1585">
        <v>0</v>
      </c>
      <c r="G1585">
        <v>0</v>
      </c>
      <c r="H1585">
        <v>157</v>
      </c>
      <c r="I1585" s="183" t="s">
        <v>4674</v>
      </c>
      <c r="J1585" s="183" t="s">
        <v>12087</v>
      </c>
      <c r="K1585">
        <v>0</v>
      </c>
      <c r="L1585">
        <v>157</v>
      </c>
    </row>
    <row r="1586" spans="1:12">
      <c r="A1586" s="183" t="s">
        <v>4681</v>
      </c>
      <c r="B1586" s="183" t="s">
        <v>4673</v>
      </c>
      <c r="C1586">
        <v>8800308226186</v>
      </c>
      <c r="D1586">
        <v>376</v>
      </c>
      <c r="E1586">
        <v>0</v>
      </c>
      <c r="F1586">
        <v>0</v>
      </c>
      <c r="G1586">
        <v>0</v>
      </c>
      <c r="H1586">
        <v>376</v>
      </c>
      <c r="I1586" s="183" t="s">
        <v>4674</v>
      </c>
      <c r="J1586" s="183" t="s">
        <v>12095</v>
      </c>
      <c r="K1586">
        <v>0</v>
      </c>
      <c r="L1586">
        <v>376</v>
      </c>
    </row>
    <row r="1587" spans="1:12">
      <c r="A1587" s="183" t="s">
        <v>4720</v>
      </c>
      <c r="B1587" s="183" t="s">
        <v>4685</v>
      </c>
      <c r="C1587">
        <v>8800308226292</v>
      </c>
      <c r="D1587">
        <v>111</v>
      </c>
      <c r="E1587">
        <v>0</v>
      </c>
      <c r="F1587">
        <v>0</v>
      </c>
      <c r="G1587">
        <v>0</v>
      </c>
      <c r="H1587">
        <v>111</v>
      </c>
      <c r="I1587" s="183" t="s">
        <v>4686</v>
      </c>
      <c r="J1587" s="183" t="s">
        <v>12093</v>
      </c>
      <c r="K1587">
        <v>0</v>
      </c>
      <c r="L1587">
        <v>111</v>
      </c>
    </row>
    <row r="1588" spans="1:12">
      <c r="A1588" s="183" t="s">
        <v>4721</v>
      </c>
      <c r="B1588" s="183" t="s">
        <v>4685</v>
      </c>
      <c r="C1588">
        <v>8800308226391</v>
      </c>
      <c r="D1588">
        <v>128</v>
      </c>
      <c r="E1588">
        <v>0</v>
      </c>
      <c r="F1588">
        <v>0</v>
      </c>
      <c r="G1588">
        <v>0</v>
      </c>
      <c r="H1588">
        <v>128</v>
      </c>
      <c r="I1588" s="183" t="s">
        <v>4686</v>
      </c>
      <c r="J1588" s="183" t="s">
        <v>12092</v>
      </c>
      <c r="K1588">
        <v>0</v>
      </c>
      <c r="L1588">
        <v>128</v>
      </c>
    </row>
    <row r="1589" spans="1:12">
      <c r="A1589" s="183" t="s">
        <v>4722</v>
      </c>
      <c r="B1589" s="183" t="s">
        <v>4685</v>
      </c>
      <c r="C1589">
        <v>8800308226414</v>
      </c>
      <c r="D1589">
        <v>128</v>
      </c>
      <c r="E1589">
        <v>0</v>
      </c>
      <c r="F1589">
        <v>0</v>
      </c>
      <c r="G1589">
        <v>0</v>
      </c>
      <c r="H1589">
        <v>128</v>
      </c>
      <c r="I1589" s="183" t="s">
        <v>4686</v>
      </c>
      <c r="J1589" s="183" t="s">
        <v>12095</v>
      </c>
      <c r="K1589">
        <v>0</v>
      </c>
      <c r="L1589">
        <v>128</v>
      </c>
    </row>
    <row r="1590" spans="1:12">
      <c r="A1590" s="183" t="s">
        <v>4897</v>
      </c>
      <c r="B1590" s="183" t="s">
        <v>4676</v>
      </c>
      <c r="C1590">
        <v>8800308226520</v>
      </c>
      <c r="D1590">
        <v>255</v>
      </c>
      <c r="E1590">
        <v>0</v>
      </c>
      <c r="F1590">
        <v>0</v>
      </c>
      <c r="G1590">
        <v>0</v>
      </c>
      <c r="H1590">
        <v>255</v>
      </c>
      <c r="I1590" s="183" t="s">
        <v>4677</v>
      </c>
      <c r="J1590" s="183" t="s">
        <v>12094</v>
      </c>
      <c r="K1590">
        <v>0</v>
      </c>
      <c r="L1590">
        <v>255</v>
      </c>
    </row>
    <row r="1591" spans="1:12">
      <c r="A1591" s="183" t="s">
        <v>4898</v>
      </c>
      <c r="B1591" s="183" t="s">
        <v>4676</v>
      </c>
      <c r="C1591">
        <v>8800308226537</v>
      </c>
      <c r="D1591">
        <v>281</v>
      </c>
      <c r="E1591">
        <v>0</v>
      </c>
      <c r="F1591">
        <v>0</v>
      </c>
      <c r="G1591">
        <v>0</v>
      </c>
      <c r="H1591">
        <v>281</v>
      </c>
      <c r="I1591" s="183" t="s">
        <v>4677</v>
      </c>
      <c r="J1591" s="183" t="s">
        <v>12081</v>
      </c>
      <c r="K1591">
        <v>0</v>
      </c>
      <c r="L1591">
        <v>281</v>
      </c>
    </row>
    <row r="1592" spans="1:12">
      <c r="A1592" s="183" t="s">
        <v>4682</v>
      </c>
      <c r="B1592" s="183" t="s">
        <v>4676</v>
      </c>
      <c r="C1592">
        <v>8800308226643</v>
      </c>
      <c r="D1592">
        <v>195</v>
      </c>
      <c r="E1592">
        <v>0</v>
      </c>
      <c r="F1592">
        <v>0</v>
      </c>
      <c r="G1592">
        <v>0</v>
      </c>
      <c r="H1592">
        <v>195</v>
      </c>
      <c r="I1592" s="183" t="s">
        <v>4677</v>
      </c>
      <c r="J1592" s="183" t="s">
        <v>12093</v>
      </c>
      <c r="K1592">
        <v>0</v>
      </c>
      <c r="L1592">
        <v>195</v>
      </c>
    </row>
    <row r="1593" spans="1:12">
      <c r="A1593" s="183" t="s">
        <v>4890</v>
      </c>
      <c r="B1593" s="183" t="s">
        <v>4676</v>
      </c>
      <c r="C1593">
        <v>8800308226704</v>
      </c>
      <c r="D1593">
        <v>226</v>
      </c>
      <c r="E1593">
        <v>0</v>
      </c>
      <c r="F1593">
        <v>0</v>
      </c>
      <c r="G1593">
        <v>0</v>
      </c>
      <c r="H1593">
        <v>226</v>
      </c>
      <c r="I1593" s="183" t="s">
        <v>4677</v>
      </c>
      <c r="J1593" s="183" t="s">
        <v>12093</v>
      </c>
      <c r="K1593">
        <v>0</v>
      </c>
      <c r="L1593">
        <v>226</v>
      </c>
    </row>
    <row r="1594" spans="1:12">
      <c r="A1594" s="183" t="s">
        <v>6403</v>
      </c>
      <c r="B1594" s="183" t="s">
        <v>6404</v>
      </c>
      <c r="C1594">
        <v>64002200</v>
      </c>
      <c r="D1594" s="501">
        <v>1302</v>
      </c>
      <c r="E1594">
        <v>0</v>
      </c>
      <c r="F1594">
        <v>0</v>
      </c>
      <c r="G1594">
        <v>0</v>
      </c>
      <c r="H1594" s="501">
        <v>1302</v>
      </c>
      <c r="I1594" s="183" t="s">
        <v>984</v>
      </c>
      <c r="J1594" s="183" t="s">
        <v>12060</v>
      </c>
      <c r="K1594">
        <v>0</v>
      </c>
      <c r="L1594" s="501">
        <v>1302</v>
      </c>
    </row>
    <row r="1595" spans="1:12">
      <c r="A1595" s="183" t="s">
        <v>6094</v>
      </c>
      <c r="B1595" s="183" t="s">
        <v>6095</v>
      </c>
      <c r="C1595">
        <v>64002205</v>
      </c>
      <c r="D1595">
        <v>153</v>
      </c>
      <c r="E1595">
        <v>0</v>
      </c>
      <c r="F1595">
        <v>0</v>
      </c>
      <c r="G1595">
        <v>0</v>
      </c>
      <c r="H1595">
        <v>153</v>
      </c>
      <c r="I1595" s="183" t="s">
        <v>984</v>
      </c>
      <c r="J1595" s="183" t="s">
        <v>12092</v>
      </c>
      <c r="K1595">
        <v>0</v>
      </c>
      <c r="L1595">
        <v>153</v>
      </c>
    </row>
    <row r="1596" spans="1:12">
      <c r="A1596" s="183" t="s">
        <v>4901</v>
      </c>
      <c r="B1596" s="183" t="s">
        <v>4902</v>
      </c>
      <c r="C1596">
        <v>64002211</v>
      </c>
      <c r="D1596">
        <v>929</v>
      </c>
      <c r="E1596">
        <v>0</v>
      </c>
      <c r="F1596">
        <v>0</v>
      </c>
      <c r="G1596">
        <v>0</v>
      </c>
      <c r="H1596">
        <v>929</v>
      </c>
      <c r="I1596" s="183" t="s">
        <v>984</v>
      </c>
      <c r="J1596" s="183" t="s">
        <v>12092</v>
      </c>
      <c r="K1596">
        <v>0</v>
      </c>
      <c r="L1596">
        <v>929</v>
      </c>
    </row>
    <row r="1597" spans="1:12">
      <c r="A1597" s="183" t="s">
        <v>6181</v>
      </c>
      <c r="B1597" s="183" t="s">
        <v>6182</v>
      </c>
      <c r="C1597">
        <v>64002219</v>
      </c>
      <c r="D1597">
        <v>25</v>
      </c>
      <c r="E1597">
        <v>0</v>
      </c>
      <c r="F1597">
        <v>0</v>
      </c>
      <c r="G1597">
        <v>0</v>
      </c>
      <c r="H1597">
        <v>25</v>
      </c>
      <c r="I1597" s="183" t="s">
        <v>984</v>
      </c>
      <c r="J1597" s="183" t="s">
        <v>12091</v>
      </c>
      <c r="K1597">
        <v>0</v>
      </c>
      <c r="L1597">
        <v>25</v>
      </c>
    </row>
    <row r="1598" spans="1:12">
      <c r="A1598" s="183" t="s">
        <v>4259</v>
      </c>
      <c r="B1598" s="183" t="s">
        <v>3978</v>
      </c>
      <c r="C1598">
        <v>8800268999311</v>
      </c>
      <c r="D1598">
        <v>135</v>
      </c>
      <c r="E1598">
        <v>0</v>
      </c>
      <c r="F1598">
        <v>0</v>
      </c>
      <c r="G1598">
        <v>0</v>
      </c>
      <c r="H1598">
        <v>135</v>
      </c>
      <c r="I1598" s="183" t="s">
        <v>3979</v>
      </c>
      <c r="J1598" s="183" t="s">
        <v>12053</v>
      </c>
      <c r="K1598">
        <v>0</v>
      </c>
      <c r="L1598">
        <v>135</v>
      </c>
    </row>
    <row r="1599" spans="1:12">
      <c r="A1599" s="183" t="s">
        <v>4201</v>
      </c>
      <c r="B1599" s="183" t="s">
        <v>3978</v>
      </c>
      <c r="C1599">
        <v>8800268999762</v>
      </c>
      <c r="D1599">
        <v>120</v>
      </c>
      <c r="E1599">
        <v>0</v>
      </c>
      <c r="F1599">
        <v>0</v>
      </c>
      <c r="G1599">
        <v>0</v>
      </c>
      <c r="H1599">
        <v>120</v>
      </c>
      <c r="I1599" s="183" t="s">
        <v>3979</v>
      </c>
      <c r="J1599" s="183" t="s">
        <v>12095</v>
      </c>
      <c r="K1599">
        <v>0</v>
      </c>
      <c r="L1599">
        <v>120</v>
      </c>
    </row>
    <row r="1600" spans="1:12">
      <c r="A1600" s="183" t="s">
        <v>4202</v>
      </c>
      <c r="B1600" s="183" t="s">
        <v>3978</v>
      </c>
      <c r="C1600">
        <v>8800268999809</v>
      </c>
      <c r="D1600">
        <v>4</v>
      </c>
      <c r="E1600">
        <v>0</v>
      </c>
      <c r="F1600">
        <v>0</v>
      </c>
      <c r="G1600">
        <v>0</v>
      </c>
      <c r="H1600">
        <v>4</v>
      </c>
      <c r="I1600" s="183" t="s">
        <v>3979</v>
      </c>
      <c r="J1600" s="183" t="s">
        <v>12094</v>
      </c>
      <c r="K1600">
        <v>0</v>
      </c>
      <c r="L1600">
        <v>4</v>
      </c>
    </row>
    <row r="1601" spans="1:12">
      <c r="A1601" s="183" t="s">
        <v>4665</v>
      </c>
      <c r="B1601" s="183" t="s">
        <v>3978</v>
      </c>
      <c r="C1601">
        <v>8800268999830</v>
      </c>
      <c r="D1601">
        <v>4</v>
      </c>
      <c r="E1601">
        <v>0</v>
      </c>
      <c r="F1601">
        <v>0</v>
      </c>
      <c r="G1601">
        <v>0</v>
      </c>
      <c r="H1601">
        <v>4</v>
      </c>
      <c r="I1601" s="183" t="s">
        <v>3979</v>
      </c>
      <c r="J1601" s="183" t="s">
        <v>12094</v>
      </c>
      <c r="K1601">
        <v>0</v>
      </c>
      <c r="L1601">
        <v>4</v>
      </c>
    </row>
    <row r="1602" spans="1:12">
      <c r="A1602" s="183" t="s">
        <v>4343</v>
      </c>
      <c r="B1602" s="183" t="s">
        <v>3978</v>
      </c>
      <c r="C1602">
        <v>8800268999861</v>
      </c>
      <c r="D1602">
        <v>5</v>
      </c>
      <c r="E1602">
        <v>0</v>
      </c>
      <c r="F1602">
        <v>0</v>
      </c>
      <c r="G1602">
        <v>0</v>
      </c>
      <c r="H1602">
        <v>5</v>
      </c>
      <c r="I1602" s="183" t="s">
        <v>3979</v>
      </c>
      <c r="J1602" s="183" t="s">
        <v>12094</v>
      </c>
      <c r="K1602">
        <v>0</v>
      </c>
      <c r="L1602">
        <v>5</v>
      </c>
    </row>
    <row r="1603" spans="1:12">
      <c r="A1603" s="183" t="s">
        <v>4203</v>
      </c>
      <c r="B1603" s="183" t="s">
        <v>3978</v>
      </c>
      <c r="C1603">
        <v>8800269000191</v>
      </c>
      <c r="D1603">
        <v>39</v>
      </c>
      <c r="E1603">
        <v>0</v>
      </c>
      <c r="F1603">
        <v>0</v>
      </c>
      <c r="G1603">
        <v>0</v>
      </c>
      <c r="H1603">
        <v>39</v>
      </c>
      <c r="I1603" s="183" t="s">
        <v>3979</v>
      </c>
      <c r="J1603" s="183" t="s">
        <v>12093</v>
      </c>
      <c r="K1603">
        <v>0</v>
      </c>
      <c r="L1603">
        <v>39</v>
      </c>
    </row>
    <row r="1604" spans="1:12">
      <c r="A1604" s="183" t="s">
        <v>4002</v>
      </c>
      <c r="B1604" s="183" t="s">
        <v>3978</v>
      </c>
      <c r="C1604">
        <v>8800269000405</v>
      </c>
      <c r="D1604">
        <v>14</v>
      </c>
      <c r="E1604">
        <v>0</v>
      </c>
      <c r="F1604">
        <v>0</v>
      </c>
      <c r="G1604">
        <v>0</v>
      </c>
      <c r="H1604">
        <v>14</v>
      </c>
      <c r="I1604" s="183" t="s">
        <v>3979</v>
      </c>
      <c r="J1604" s="183" t="s">
        <v>12092</v>
      </c>
      <c r="K1604">
        <v>0</v>
      </c>
      <c r="L1604">
        <v>14</v>
      </c>
    </row>
    <row r="1605" spans="1:12">
      <c r="A1605" s="183" t="s">
        <v>4260</v>
      </c>
      <c r="B1605" s="183" t="s">
        <v>3978</v>
      </c>
      <c r="C1605">
        <v>8800269000474</v>
      </c>
      <c r="D1605">
        <v>30</v>
      </c>
      <c r="E1605">
        <v>0</v>
      </c>
      <c r="F1605">
        <v>0</v>
      </c>
      <c r="G1605">
        <v>0</v>
      </c>
      <c r="H1605">
        <v>30</v>
      </c>
      <c r="I1605" s="183" t="s">
        <v>3979</v>
      </c>
      <c r="J1605" s="183" t="s">
        <v>12092</v>
      </c>
      <c r="K1605">
        <v>0</v>
      </c>
      <c r="L1605">
        <v>30</v>
      </c>
    </row>
    <row r="1606" spans="1:12">
      <c r="A1606" s="183" t="s">
        <v>4204</v>
      </c>
      <c r="B1606" s="183" t="s">
        <v>3978</v>
      </c>
      <c r="C1606">
        <v>8800269000528</v>
      </c>
      <c r="D1606">
        <v>66</v>
      </c>
      <c r="E1606">
        <v>0</v>
      </c>
      <c r="F1606">
        <v>0</v>
      </c>
      <c r="G1606">
        <v>0</v>
      </c>
      <c r="H1606">
        <v>66</v>
      </c>
      <c r="I1606" s="183" t="s">
        <v>3979</v>
      </c>
      <c r="J1606" s="183" t="s">
        <v>12059</v>
      </c>
      <c r="K1606">
        <v>0</v>
      </c>
      <c r="L1606">
        <v>66</v>
      </c>
    </row>
    <row r="1607" spans="1:12">
      <c r="A1607" s="183" t="s">
        <v>4261</v>
      </c>
      <c r="B1607" s="183" t="s">
        <v>3978</v>
      </c>
      <c r="C1607">
        <v>8800269000627</v>
      </c>
      <c r="D1607">
        <v>53</v>
      </c>
      <c r="E1607">
        <v>0</v>
      </c>
      <c r="F1607">
        <v>0</v>
      </c>
      <c r="G1607">
        <v>0</v>
      </c>
      <c r="H1607">
        <v>53</v>
      </c>
      <c r="I1607" s="183" t="s">
        <v>3979</v>
      </c>
      <c r="J1607" s="183" t="s">
        <v>12067</v>
      </c>
      <c r="K1607">
        <v>0</v>
      </c>
      <c r="L1607">
        <v>53</v>
      </c>
    </row>
    <row r="1608" spans="1:12">
      <c r="A1608" s="183" t="s">
        <v>4205</v>
      </c>
      <c r="B1608" s="183" t="s">
        <v>3978</v>
      </c>
      <c r="C1608">
        <v>8800269000672</v>
      </c>
      <c r="D1608">
        <v>131</v>
      </c>
      <c r="E1608">
        <v>0</v>
      </c>
      <c r="F1608">
        <v>0</v>
      </c>
      <c r="G1608">
        <v>0</v>
      </c>
      <c r="H1608">
        <v>131</v>
      </c>
      <c r="I1608" s="183" t="s">
        <v>3979</v>
      </c>
      <c r="J1608" s="183" t="s">
        <v>12081</v>
      </c>
      <c r="K1608">
        <v>0</v>
      </c>
      <c r="L1608">
        <v>131</v>
      </c>
    </row>
    <row r="1609" spans="1:12">
      <c r="A1609" s="183" t="s">
        <v>4075</v>
      </c>
      <c r="B1609" s="183" t="s">
        <v>3978</v>
      </c>
      <c r="C1609">
        <v>8800269000733</v>
      </c>
      <c r="D1609">
        <v>26</v>
      </c>
      <c r="E1609">
        <v>0</v>
      </c>
      <c r="F1609">
        <v>0</v>
      </c>
      <c r="G1609">
        <v>0</v>
      </c>
      <c r="H1609">
        <v>26</v>
      </c>
      <c r="I1609" s="183" t="s">
        <v>3979</v>
      </c>
      <c r="J1609" s="183" t="s">
        <v>12054</v>
      </c>
      <c r="K1609">
        <v>0</v>
      </c>
      <c r="L1609">
        <v>26</v>
      </c>
    </row>
    <row r="1610" spans="1:12">
      <c r="A1610" s="183" t="s">
        <v>4054</v>
      </c>
      <c r="B1610" s="183" t="s">
        <v>3978</v>
      </c>
      <c r="C1610">
        <v>8800269000764</v>
      </c>
      <c r="D1610">
        <v>172</v>
      </c>
      <c r="E1610">
        <v>0</v>
      </c>
      <c r="F1610">
        <v>0</v>
      </c>
      <c r="G1610">
        <v>0</v>
      </c>
      <c r="H1610">
        <v>172</v>
      </c>
      <c r="I1610" s="183" t="s">
        <v>3979</v>
      </c>
      <c r="J1610" s="183" t="s">
        <v>12050</v>
      </c>
      <c r="K1610">
        <v>0</v>
      </c>
      <c r="L1610">
        <v>172</v>
      </c>
    </row>
    <row r="1611" spans="1:12">
      <c r="A1611" s="183" t="s">
        <v>4108</v>
      </c>
      <c r="B1611" s="183" t="s">
        <v>3978</v>
      </c>
      <c r="C1611">
        <v>8800269000887</v>
      </c>
      <c r="D1611">
        <v>80</v>
      </c>
      <c r="E1611">
        <v>0</v>
      </c>
      <c r="F1611">
        <v>0</v>
      </c>
      <c r="G1611">
        <v>0</v>
      </c>
      <c r="H1611">
        <v>80</v>
      </c>
      <c r="I1611" s="183" t="s">
        <v>3979</v>
      </c>
      <c r="J1611" s="183" t="s">
        <v>12053</v>
      </c>
      <c r="K1611">
        <v>0</v>
      </c>
      <c r="L1611">
        <v>80</v>
      </c>
    </row>
    <row r="1612" spans="1:12">
      <c r="A1612" s="183" t="s">
        <v>4045</v>
      </c>
      <c r="B1612" s="183" t="s">
        <v>3978</v>
      </c>
      <c r="C1612">
        <v>8800269000900</v>
      </c>
      <c r="D1612">
        <v>26</v>
      </c>
      <c r="E1612">
        <v>0</v>
      </c>
      <c r="F1612">
        <v>0</v>
      </c>
      <c r="G1612">
        <v>0</v>
      </c>
      <c r="H1612">
        <v>26</v>
      </c>
      <c r="I1612" s="183" t="s">
        <v>3979</v>
      </c>
      <c r="J1612" s="183" t="s">
        <v>12091</v>
      </c>
      <c r="K1612">
        <v>0</v>
      </c>
      <c r="L1612">
        <v>26</v>
      </c>
    </row>
    <row r="1613" spans="1:12">
      <c r="A1613" s="183" t="s">
        <v>4127</v>
      </c>
      <c r="B1613" s="183" t="s">
        <v>3978</v>
      </c>
      <c r="C1613">
        <v>8800269001013</v>
      </c>
      <c r="D1613">
        <v>15</v>
      </c>
      <c r="E1613">
        <v>0</v>
      </c>
      <c r="F1613">
        <v>0</v>
      </c>
      <c r="G1613">
        <v>0</v>
      </c>
      <c r="H1613">
        <v>15</v>
      </c>
      <c r="I1613" s="183" t="s">
        <v>3979</v>
      </c>
      <c r="J1613" s="183" t="s">
        <v>12063</v>
      </c>
      <c r="K1613">
        <v>0</v>
      </c>
      <c r="L1613">
        <v>15</v>
      </c>
    </row>
    <row r="1614" spans="1:12">
      <c r="A1614" s="183" t="s">
        <v>4164</v>
      </c>
      <c r="B1614" s="183" t="s">
        <v>3978</v>
      </c>
      <c r="C1614">
        <v>8800269001235</v>
      </c>
      <c r="D1614">
        <v>49</v>
      </c>
      <c r="E1614">
        <v>0</v>
      </c>
      <c r="F1614">
        <v>0</v>
      </c>
      <c r="G1614">
        <v>0</v>
      </c>
      <c r="H1614">
        <v>49</v>
      </c>
      <c r="I1614" s="183" t="s">
        <v>3979</v>
      </c>
      <c r="J1614" s="183" t="s">
        <v>12092</v>
      </c>
      <c r="K1614">
        <v>0</v>
      </c>
      <c r="L1614">
        <v>49</v>
      </c>
    </row>
    <row r="1615" spans="1:12">
      <c r="A1615" s="183" t="s">
        <v>4026</v>
      </c>
      <c r="B1615" s="183" t="s">
        <v>3978</v>
      </c>
      <c r="C1615">
        <v>8800269001259</v>
      </c>
      <c r="D1615">
        <v>21</v>
      </c>
      <c r="E1615">
        <v>0</v>
      </c>
      <c r="F1615">
        <v>0</v>
      </c>
      <c r="G1615">
        <v>0</v>
      </c>
      <c r="H1615">
        <v>21</v>
      </c>
      <c r="I1615" s="183" t="s">
        <v>3979</v>
      </c>
      <c r="J1615" s="183" t="s">
        <v>12053</v>
      </c>
      <c r="K1615">
        <v>0</v>
      </c>
      <c r="L1615">
        <v>21</v>
      </c>
    </row>
    <row r="1616" spans="1:12">
      <c r="A1616" s="183" t="s">
        <v>4025</v>
      </c>
      <c r="B1616" s="183" t="s">
        <v>3978</v>
      </c>
      <c r="C1616">
        <v>8800269001341</v>
      </c>
      <c r="D1616">
        <v>48</v>
      </c>
      <c r="E1616">
        <v>0</v>
      </c>
      <c r="F1616">
        <v>0</v>
      </c>
      <c r="G1616">
        <v>0</v>
      </c>
      <c r="H1616">
        <v>48</v>
      </c>
      <c r="I1616" s="183" t="s">
        <v>3979</v>
      </c>
      <c r="J1616" s="183" t="s">
        <v>12087</v>
      </c>
      <c r="K1616">
        <v>0</v>
      </c>
      <c r="L1616">
        <v>48</v>
      </c>
    </row>
    <row r="1617" spans="1:12">
      <c r="A1617" s="183" t="s">
        <v>4030</v>
      </c>
      <c r="B1617" s="183" t="s">
        <v>3978</v>
      </c>
      <c r="C1617">
        <v>8800269001396</v>
      </c>
      <c r="D1617">
        <v>96</v>
      </c>
      <c r="E1617">
        <v>0</v>
      </c>
      <c r="F1617">
        <v>0</v>
      </c>
      <c r="G1617">
        <v>0</v>
      </c>
      <c r="H1617">
        <v>96</v>
      </c>
      <c r="I1617" s="183" t="s">
        <v>3979</v>
      </c>
      <c r="J1617" s="183" t="s">
        <v>12081</v>
      </c>
      <c r="K1617">
        <v>0</v>
      </c>
      <c r="L1617">
        <v>96</v>
      </c>
    </row>
    <row r="1618" spans="1:12">
      <c r="A1618" s="183" t="s">
        <v>4344</v>
      </c>
      <c r="B1618" s="183" t="s">
        <v>3978</v>
      </c>
      <c r="C1618">
        <v>8800269001402</v>
      </c>
      <c r="D1618">
        <v>11</v>
      </c>
      <c r="E1618">
        <v>0</v>
      </c>
      <c r="F1618">
        <v>0</v>
      </c>
      <c r="G1618">
        <v>0</v>
      </c>
      <c r="H1618">
        <v>11</v>
      </c>
      <c r="I1618" s="183" t="s">
        <v>3979</v>
      </c>
      <c r="J1618" s="183" t="s">
        <v>12092</v>
      </c>
      <c r="K1618">
        <v>0</v>
      </c>
      <c r="L1618">
        <v>11</v>
      </c>
    </row>
    <row r="1619" spans="1:12">
      <c r="A1619" s="183" t="s">
        <v>4189</v>
      </c>
      <c r="B1619" s="183" t="s">
        <v>3978</v>
      </c>
      <c r="C1619">
        <v>8800269001518</v>
      </c>
      <c r="D1619">
        <v>58</v>
      </c>
      <c r="E1619">
        <v>0</v>
      </c>
      <c r="F1619">
        <v>0</v>
      </c>
      <c r="G1619">
        <v>0</v>
      </c>
      <c r="H1619">
        <v>58</v>
      </c>
      <c r="I1619" s="183" t="s">
        <v>3979</v>
      </c>
      <c r="J1619" s="183" t="s">
        <v>12095</v>
      </c>
      <c r="K1619">
        <v>0</v>
      </c>
      <c r="L1619">
        <v>58</v>
      </c>
    </row>
    <row r="1620" spans="1:12">
      <c r="A1620" s="183" t="s">
        <v>4273</v>
      </c>
      <c r="B1620" s="183" t="s">
        <v>3978</v>
      </c>
      <c r="C1620">
        <v>8800269001778</v>
      </c>
      <c r="D1620">
        <v>7</v>
      </c>
      <c r="E1620">
        <v>0</v>
      </c>
      <c r="F1620">
        <v>0</v>
      </c>
      <c r="G1620">
        <v>0</v>
      </c>
      <c r="H1620">
        <v>7</v>
      </c>
      <c r="I1620" s="183" t="s">
        <v>3979</v>
      </c>
      <c r="J1620" s="183" t="s">
        <v>12067</v>
      </c>
      <c r="K1620">
        <v>0</v>
      </c>
      <c r="L1620">
        <v>7</v>
      </c>
    </row>
    <row r="1621" spans="1:12">
      <c r="A1621" s="183" t="s">
        <v>4128</v>
      </c>
      <c r="B1621" s="183" t="s">
        <v>3978</v>
      </c>
      <c r="C1621">
        <v>8800269001969</v>
      </c>
      <c r="D1621">
        <v>7</v>
      </c>
      <c r="E1621">
        <v>0</v>
      </c>
      <c r="F1621">
        <v>0</v>
      </c>
      <c r="G1621">
        <v>0</v>
      </c>
      <c r="H1621">
        <v>7</v>
      </c>
      <c r="I1621" s="183" t="s">
        <v>3979</v>
      </c>
      <c r="J1621" s="183" t="s">
        <v>12059</v>
      </c>
      <c r="K1621">
        <v>0</v>
      </c>
      <c r="L1621">
        <v>7</v>
      </c>
    </row>
    <row r="1622" spans="1:12">
      <c r="A1622" s="183" t="s">
        <v>1522</v>
      </c>
      <c r="B1622" s="183" t="s">
        <v>1499</v>
      </c>
      <c r="C1622">
        <v>65100200</v>
      </c>
      <c r="D1622">
        <v>98</v>
      </c>
      <c r="E1622">
        <v>0</v>
      </c>
      <c r="F1622">
        <v>0</v>
      </c>
      <c r="G1622">
        <v>0</v>
      </c>
      <c r="H1622">
        <v>98</v>
      </c>
      <c r="I1622" s="183" t="s">
        <v>1369</v>
      </c>
      <c r="J1622" s="183" t="s">
        <v>12066</v>
      </c>
      <c r="K1622">
        <v>0</v>
      </c>
      <c r="L1622">
        <v>98</v>
      </c>
    </row>
    <row r="1623" spans="1:12">
      <c r="A1623" s="183" t="s">
        <v>1845</v>
      </c>
      <c r="B1623" s="183" t="s">
        <v>1599</v>
      </c>
      <c r="C1623">
        <v>65100207</v>
      </c>
      <c r="D1623">
        <v>87</v>
      </c>
      <c r="E1623">
        <v>0</v>
      </c>
      <c r="F1623">
        <v>0</v>
      </c>
      <c r="G1623">
        <v>0</v>
      </c>
      <c r="H1623">
        <v>87</v>
      </c>
      <c r="I1623" s="183" t="s">
        <v>1369</v>
      </c>
      <c r="J1623" s="183" t="s">
        <v>12055</v>
      </c>
      <c r="K1623">
        <v>0</v>
      </c>
      <c r="L1623">
        <v>87</v>
      </c>
    </row>
    <row r="1624" spans="1:12">
      <c r="A1624" s="183" t="s">
        <v>1836</v>
      </c>
      <c r="B1624" s="183" t="s">
        <v>1837</v>
      </c>
      <c r="C1624">
        <v>65100212</v>
      </c>
      <c r="D1624">
        <v>48</v>
      </c>
      <c r="E1624">
        <v>0</v>
      </c>
      <c r="F1624">
        <v>0</v>
      </c>
      <c r="G1624">
        <v>0</v>
      </c>
      <c r="H1624">
        <v>48</v>
      </c>
      <c r="I1624" s="183" t="s">
        <v>1369</v>
      </c>
      <c r="J1624" s="183" t="s">
        <v>12050</v>
      </c>
      <c r="K1624">
        <v>0</v>
      </c>
      <c r="L1624">
        <v>48</v>
      </c>
    </row>
    <row r="1625" spans="1:12">
      <c r="A1625" s="183" t="s">
        <v>1367</v>
      </c>
      <c r="B1625" s="183" t="s">
        <v>1368</v>
      </c>
      <c r="C1625">
        <v>65100217</v>
      </c>
      <c r="D1625">
        <v>82</v>
      </c>
      <c r="E1625">
        <v>0</v>
      </c>
      <c r="F1625">
        <v>0</v>
      </c>
      <c r="G1625">
        <v>0</v>
      </c>
      <c r="H1625">
        <v>82</v>
      </c>
      <c r="I1625" s="183" t="s">
        <v>1369</v>
      </c>
      <c r="J1625" s="183" t="s">
        <v>12057</v>
      </c>
      <c r="K1625">
        <v>0</v>
      </c>
      <c r="L1625">
        <v>82</v>
      </c>
    </row>
    <row r="1626" spans="1:12">
      <c r="A1626" s="183" t="s">
        <v>1838</v>
      </c>
      <c r="B1626" s="183" t="s">
        <v>1710</v>
      </c>
      <c r="C1626">
        <v>65100222</v>
      </c>
      <c r="D1626">
        <v>48</v>
      </c>
      <c r="E1626">
        <v>0</v>
      </c>
      <c r="F1626">
        <v>0</v>
      </c>
      <c r="G1626">
        <v>0</v>
      </c>
      <c r="H1626">
        <v>48</v>
      </c>
      <c r="I1626" s="183" t="s">
        <v>1369</v>
      </c>
      <c r="J1626" s="183" t="s">
        <v>12058</v>
      </c>
      <c r="K1626">
        <v>0</v>
      </c>
      <c r="L1626">
        <v>48</v>
      </c>
    </row>
    <row r="1627" spans="1:12">
      <c r="A1627" s="183" t="s">
        <v>2321</v>
      </c>
      <c r="B1627" s="183" t="s">
        <v>1710</v>
      </c>
      <c r="C1627">
        <v>65100223</v>
      </c>
      <c r="D1627">
        <v>13</v>
      </c>
      <c r="E1627">
        <v>0</v>
      </c>
      <c r="F1627">
        <v>0</v>
      </c>
      <c r="G1627">
        <v>0</v>
      </c>
      <c r="H1627">
        <v>13</v>
      </c>
      <c r="I1627" s="183" t="s">
        <v>1369</v>
      </c>
      <c r="J1627" s="183" t="s">
        <v>12057</v>
      </c>
      <c r="K1627">
        <v>0</v>
      </c>
      <c r="L1627">
        <v>13</v>
      </c>
    </row>
    <row r="1628" spans="1:12">
      <c r="A1628" s="183" t="s">
        <v>1861</v>
      </c>
      <c r="B1628" s="183" t="s">
        <v>1862</v>
      </c>
      <c r="C1628">
        <v>65100224</v>
      </c>
      <c r="D1628">
        <v>2</v>
      </c>
      <c r="E1628">
        <v>0</v>
      </c>
      <c r="F1628">
        <v>0</v>
      </c>
      <c r="G1628">
        <v>0</v>
      </c>
      <c r="H1628">
        <v>2</v>
      </c>
      <c r="I1628" s="183" t="s">
        <v>1369</v>
      </c>
      <c r="J1628" s="183" t="s">
        <v>12058</v>
      </c>
      <c r="K1628">
        <v>0</v>
      </c>
      <c r="L1628">
        <v>2</v>
      </c>
    </row>
    <row r="1629" spans="1:12">
      <c r="A1629" s="183" t="s">
        <v>4875</v>
      </c>
      <c r="B1629" s="183" t="s">
        <v>4718</v>
      </c>
      <c r="C1629">
        <v>8800308225776</v>
      </c>
      <c r="D1629">
        <v>204</v>
      </c>
      <c r="E1629">
        <v>0</v>
      </c>
      <c r="F1629">
        <v>0</v>
      </c>
      <c r="G1629">
        <v>0</v>
      </c>
      <c r="H1629">
        <v>204</v>
      </c>
      <c r="I1629" s="183" t="s">
        <v>4719</v>
      </c>
      <c r="J1629" s="183" t="s">
        <v>12081</v>
      </c>
      <c r="K1629">
        <v>0</v>
      </c>
      <c r="L1629">
        <v>204</v>
      </c>
    </row>
    <row r="1630" spans="1:12">
      <c r="A1630" s="183" t="s">
        <v>4876</v>
      </c>
      <c r="B1630" s="183" t="s">
        <v>4718</v>
      </c>
      <c r="C1630">
        <v>8800308225783</v>
      </c>
      <c r="D1630">
        <v>167</v>
      </c>
      <c r="E1630">
        <v>0</v>
      </c>
      <c r="F1630">
        <v>0</v>
      </c>
      <c r="G1630">
        <v>0</v>
      </c>
      <c r="H1630">
        <v>167</v>
      </c>
      <c r="I1630" s="183" t="s">
        <v>4719</v>
      </c>
      <c r="J1630" s="183" t="s">
        <v>12092</v>
      </c>
      <c r="K1630">
        <v>0</v>
      </c>
      <c r="L1630">
        <v>167</v>
      </c>
    </row>
    <row r="1631" spans="1:12">
      <c r="A1631" s="183" t="s">
        <v>4725</v>
      </c>
      <c r="B1631" s="183" t="s">
        <v>4718</v>
      </c>
      <c r="C1631">
        <v>8800308225844</v>
      </c>
      <c r="D1631">
        <v>203</v>
      </c>
      <c r="E1631">
        <v>0</v>
      </c>
      <c r="F1631">
        <v>0</v>
      </c>
      <c r="G1631">
        <v>0</v>
      </c>
      <c r="H1631">
        <v>203</v>
      </c>
      <c r="I1631" s="183" t="s">
        <v>4719</v>
      </c>
      <c r="J1631" s="183" t="s">
        <v>12081</v>
      </c>
      <c r="K1631">
        <v>0</v>
      </c>
      <c r="L1631">
        <v>203</v>
      </c>
    </row>
    <row r="1632" spans="1:12">
      <c r="A1632" s="183" t="s">
        <v>4726</v>
      </c>
      <c r="B1632" s="183" t="s">
        <v>4718</v>
      </c>
      <c r="C1632">
        <v>8800308225882</v>
      </c>
      <c r="D1632">
        <v>143</v>
      </c>
      <c r="E1632">
        <v>0</v>
      </c>
      <c r="F1632">
        <v>0</v>
      </c>
      <c r="G1632">
        <v>0</v>
      </c>
      <c r="H1632">
        <v>143</v>
      </c>
      <c r="I1632" s="183" t="s">
        <v>4719</v>
      </c>
      <c r="J1632" s="183" t="s">
        <v>12059</v>
      </c>
      <c r="K1632">
        <v>0</v>
      </c>
      <c r="L1632">
        <v>143</v>
      </c>
    </row>
    <row r="1633" spans="1:12">
      <c r="A1633" s="183" t="s">
        <v>4891</v>
      </c>
      <c r="B1633" s="183" t="s">
        <v>4673</v>
      </c>
      <c r="C1633">
        <v>8800308225998</v>
      </c>
      <c r="D1633">
        <v>380</v>
      </c>
      <c r="E1633">
        <v>0</v>
      </c>
      <c r="F1633">
        <v>0</v>
      </c>
      <c r="G1633">
        <v>0</v>
      </c>
      <c r="H1633">
        <v>380</v>
      </c>
      <c r="I1633" s="183" t="s">
        <v>4674</v>
      </c>
      <c r="J1633" s="183" t="s">
        <v>12087</v>
      </c>
      <c r="K1633">
        <v>0</v>
      </c>
      <c r="L1633">
        <v>380</v>
      </c>
    </row>
    <row r="1634" spans="1:12">
      <c r="A1634" s="183" t="s">
        <v>4973</v>
      </c>
      <c r="B1634" s="183" t="s">
        <v>4673</v>
      </c>
      <c r="C1634">
        <v>8800308226209</v>
      </c>
      <c r="D1634">
        <v>180</v>
      </c>
      <c r="E1634">
        <v>0</v>
      </c>
      <c r="F1634">
        <v>0</v>
      </c>
      <c r="G1634">
        <v>0</v>
      </c>
      <c r="H1634">
        <v>180</v>
      </c>
      <c r="I1634" s="183" t="s">
        <v>4674</v>
      </c>
      <c r="J1634" s="183" t="s">
        <v>12066</v>
      </c>
      <c r="K1634">
        <v>0</v>
      </c>
      <c r="L1634">
        <v>180</v>
      </c>
    </row>
    <row r="1635" spans="1:12">
      <c r="A1635" s="183" t="s">
        <v>4977</v>
      </c>
      <c r="B1635" s="183" t="s">
        <v>4673</v>
      </c>
      <c r="C1635">
        <v>8800308226223</v>
      </c>
      <c r="D1635">
        <v>210</v>
      </c>
      <c r="E1635">
        <v>0</v>
      </c>
      <c r="F1635">
        <v>0</v>
      </c>
      <c r="G1635">
        <v>0</v>
      </c>
      <c r="H1635">
        <v>210</v>
      </c>
      <c r="I1635" s="183" t="s">
        <v>4674</v>
      </c>
      <c r="J1635" s="183" t="s">
        <v>12048</v>
      </c>
      <c r="K1635">
        <v>0</v>
      </c>
      <c r="L1635">
        <v>210</v>
      </c>
    </row>
    <row r="1636" spans="1:12">
      <c r="A1636" s="183" t="s">
        <v>4727</v>
      </c>
      <c r="B1636" s="183" t="s">
        <v>4685</v>
      </c>
      <c r="C1636">
        <v>8800308226230</v>
      </c>
      <c r="D1636">
        <v>400</v>
      </c>
      <c r="E1636">
        <v>0</v>
      </c>
      <c r="F1636">
        <v>0</v>
      </c>
      <c r="G1636">
        <v>0</v>
      </c>
      <c r="H1636">
        <v>400</v>
      </c>
      <c r="I1636" s="183" t="s">
        <v>4686</v>
      </c>
      <c r="J1636" s="183" t="s">
        <v>12048</v>
      </c>
      <c r="K1636">
        <v>0</v>
      </c>
      <c r="L1636">
        <v>400</v>
      </c>
    </row>
    <row r="1637" spans="1:12">
      <c r="A1637" s="183" t="s">
        <v>4675</v>
      </c>
      <c r="B1637" s="183" t="s">
        <v>4676</v>
      </c>
      <c r="C1637">
        <v>8800308226605</v>
      </c>
      <c r="D1637">
        <v>738</v>
      </c>
      <c r="E1637">
        <v>0</v>
      </c>
      <c r="F1637">
        <v>0</v>
      </c>
      <c r="G1637">
        <v>0</v>
      </c>
      <c r="H1637">
        <v>738</v>
      </c>
      <c r="I1637" s="183" t="s">
        <v>4677</v>
      </c>
      <c r="J1637" s="183" t="s">
        <v>12087</v>
      </c>
      <c r="K1637">
        <v>0</v>
      </c>
      <c r="L1637">
        <v>738</v>
      </c>
    </row>
    <row r="1638" spans="1:12">
      <c r="A1638" s="183" t="s">
        <v>4678</v>
      </c>
      <c r="B1638" s="183" t="s">
        <v>4676</v>
      </c>
      <c r="C1638">
        <v>8800308226612</v>
      </c>
      <c r="D1638">
        <v>450</v>
      </c>
      <c r="E1638">
        <v>0</v>
      </c>
      <c r="F1638">
        <v>0</v>
      </c>
      <c r="G1638">
        <v>0</v>
      </c>
      <c r="H1638">
        <v>450</v>
      </c>
      <c r="I1638" s="183" t="s">
        <v>4677</v>
      </c>
      <c r="J1638" s="183" t="s">
        <v>12093</v>
      </c>
      <c r="K1638">
        <v>0</v>
      </c>
      <c r="L1638">
        <v>450</v>
      </c>
    </row>
    <row r="1639" spans="1:12">
      <c r="A1639" s="183" t="s">
        <v>4679</v>
      </c>
      <c r="B1639" s="183" t="s">
        <v>4676</v>
      </c>
      <c r="C1639">
        <v>8800308226674</v>
      </c>
      <c r="D1639">
        <v>552</v>
      </c>
      <c r="E1639">
        <v>0</v>
      </c>
      <c r="F1639">
        <v>0</v>
      </c>
      <c r="G1639">
        <v>0</v>
      </c>
      <c r="H1639">
        <v>552</v>
      </c>
      <c r="I1639" s="183" t="s">
        <v>4677</v>
      </c>
      <c r="J1639" s="183" t="s">
        <v>12048</v>
      </c>
      <c r="K1639">
        <v>0</v>
      </c>
      <c r="L1639">
        <v>552</v>
      </c>
    </row>
    <row r="1640" spans="1:12">
      <c r="A1640" s="183" t="s">
        <v>4892</v>
      </c>
      <c r="B1640" s="183" t="s">
        <v>4676</v>
      </c>
      <c r="C1640">
        <v>8800308226711</v>
      </c>
      <c r="D1640">
        <v>91</v>
      </c>
      <c r="E1640">
        <v>0</v>
      </c>
      <c r="F1640">
        <v>0</v>
      </c>
      <c r="G1640">
        <v>0</v>
      </c>
      <c r="H1640">
        <v>91</v>
      </c>
      <c r="I1640" s="183" t="s">
        <v>4677</v>
      </c>
      <c r="J1640" s="183" t="s">
        <v>12093</v>
      </c>
      <c r="K1640">
        <v>0</v>
      </c>
      <c r="L1640">
        <v>91</v>
      </c>
    </row>
    <row r="1641" spans="1:12">
      <c r="A1641" s="183" t="s">
        <v>6173</v>
      </c>
      <c r="B1641" s="183" t="s">
        <v>6174</v>
      </c>
      <c r="C1641">
        <v>64002220</v>
      </c>
      <c r="D1641">
        <v>863</v>
      </c>
      <c r="E1641">
        <v>0</v>
      </c>
      <c r="F1641">
        <v>0</v>
      </c>
      <c r="G1641">
        <v>0</v>
      </c>
      <c r="H1641">
        <v>863</v>
      </c>
      <c r="I1641" s="183" t="s">
        <v>984</v>
      </c>
      <c r="J1641" s="183" t="s">
        <v>12093</v>
      </c>
      <c r="K1641">
        <v>0</v>
      </c>
      <c r="L1641">
        <v>863</v>
      </c>
    </row>
    <row r="1642" spans="1:12">
      <c r="A1642" s="183" t="s">
        <v>7074</v>
      </c>
      <c r="B1642" s="183" t="s">
        <v>7075</v>
      </c>
      <c r="C1642">
        <v>50236210</v>
      </c>
      <c r="D1642">
        <v>36</v>
      </c>
      <c r="E1642">
        <v>0</v>
      </c>
      <c r="F1642">
        <v>0</v>
      </c>
      <c r="G1642">
        <v>0</v>
      </c>
      <c r="H1642">
        <v>36</v>
      </c>
      <c r="I1642" s="183" t="s">
        <v>1098</v>
      </c>
      <c r="J1642" s="183" t="s">
        <v>12063</v>
      </c>
      <c r="K1642">
        <v>0</v>
      </c>
      <c r="L1642">
        <v>36</v>
      </c>
    </row>
    <row r="1643" spans="1:12">
      <c r="A1643" s="183" t="s">
        <v>2276</v>
      </c>
      <c r="B1643" s="183" t="s">
        <v>2277</v>
      </c>
      <c r="C1643">
        <v>50236216</v>
      </c>
      <c r="D1643">
        <v>49</v>
      </c>
      <c r="E1643">
        <v>0</v>
      </c>
      <c r="F1643">
        <v>0</v>
      </c>
      <c r="G1643">
        <v>0</v>
      </c>
      <c r="H1643">
        <v>49</v>
      </c>
      <c r="I1643" s="183" t="s">
        <v>1098</v>
      </c>
      <c r="J1643" s="183" t="s">
        <v>12050</v>
      </c>
      <c r="K1643">
        <v>0</v>
      </c>
      <c r="L1643">
        <v>49</v>
      </c>
    </row>
    <row r="1644" spans="1:12">
      <c r="A1644" s="183" t="s">
        <v>1643</v>
      </c>
      <c r="B1644" s="183" t="s">
        <v>1644</v>
      </c>
      <c r="C1644">
        <v>50236301</v>
      </c>
      <c r="D1644">
        <v>67</v>
      </c>
      <c r="E1644">
        <v>0</v>
      </c>
      <c r="F1644">
        <v>0</v>
      </c>
      <c r="G1644">
        <v>0</v>
      </c>
      <c r="H1644">
        <v>67</v>
      </c>
      <c r="I1644" s="183" t="s">
        <v>1098</v>
      </c>
      <c r="J1644" s="183" t="s">
        <v>12055</v>
      </c>
      <c r="K1644">
        <v>0</v>
      </c>
      <c r="L1644">
        <v>67</v>
      </c>
    </row>
    <row r="1645" spans="1:12">
      <c r="A1645" s="183" t="s">
        <v>1802</v>
      </c>
      <c r="B1645" s="183" t="s">
        <v>1803</v>
      </c>
      <c r="C1645">
        <v>50236303</v>
      </c>
      <c r="D1645">
        <v>48</v>
      </c>
      <c r="E1645">
        <v>0</v>
      </c>
      <c r="F1645">
        <v>0</v>
      </c>
      <c r="G1645">
        <v>0</v>
      </c>
      <c r="H1645">
        <v>48</v>
      </c>
      <c r="I1645" s="183" t="s">
        <v>1098</v>
      </c>
      <c r="J1645" s="183" t="s">
        <v>12050</v>
      </c>
      <c r="K1645">
        <v>0</v>
      </c>
      <c r="L1645">
        <v>48</v>
      </c>
    </row>
    <row r="1646" spans="1:12">
      <c r="A1646" s="183" t="s">
        <v>1975</v>
      </c>
      <c r="B1646" s="183" t="s">
        <v>1976</v>
      </c>
      <c r="C1646">
        <v>50236501</v>
      </c>
      <c r="D1646">
        <v>40</v>
      </c>
      <c r="E1646">
        <v>0</v>
      </c>
      <c r="F1646">
        <v>0</v>
      </c>
      <c r="G1646">
        <v>0</v>
      </c>
      <c r="H1646">
        <v>40</v>
      </c>
      <c r="I1646" s="183" t="s">
        <v>1098</v>
      </c>
      <c r="J1646" s="183" t="s">
        <v>12059</v>
      </c>
      <c r="K1646">
        <v>0</v>
      </c>
      <c r="L1646">
        <v>40</v>
      </c>
    </row>
    <row r="1647" spans="1:12">
      <c r="A1647" s="183" t="s">
        <v>7228</v>
      </c>
      <c r="B1647" s="183" t="s">
        <v>7229</v>
      </c>
      <c r="C1647">
        <v>50236510</v>
      </c>
      <c r="D1647">
        <v>18</v>
      </c>
      <c r="E1647">
        <v>0</v>
      </c>
      <c r="F1647">
        <v>0</v>
      </c>
      <c r="G1647">
        <v>0</v>
      </c>
      <c r="H1647">
        <v>18</v>
      </c>
      <c r="I1647" s="183" t="s">
        <v>1098</v>
      </c>
      <c r="J1647" s="183" t="s">
        <v>12091</v>
      </c>
      <c r="K1647">
        <v>0</v>
      </c>
      <c r="L1647">
        <v>18</v>
      </c>
    </row>
    <row r="1648" spans="1:12">
      <c r="A1648" s="183" t="s">
        <v>8228</v>
      </c>
      <c r="B1648" s="183" t="s">
        <v>8229</v>
      </c>
      <c r="C1648">
        <v>50236517</v>
      </c>
      <c r="D1648">
        <v>50</v>
      </c>
      <c r="E1648">
        <v>0</v>
      </c>
      <c r="F1648">
        <v>0</v>
      </c>
      <c r="G1648">
        <v>0</v>
      </c>
      <c r="H1648">
        <v>50</v>
      </c>
      <c r="I1648" s="183" t="s">
        <v>1098</v>
      </c>
      <c r="J1648" s="183" t="s">
        <v>12091</v>
      </c>
      <c r="K1648">
        <v>0</v>
      </c>
      <c r="L1648">
        <v>50</v>
      </c>
    </row>
    <row r="1649" spans="1:12">
      <c r="A1649" s="183" t="s">
        <v>8535</v>
      </c>
      <c r="B1649" s="183" t="s">
        <v>8536</v>
      </c>
      <c r="C1649">
        <v>50238110</v>
      </c>
      <c r="D1649">
        <v>50</v>
      </c>
      <c r="E1649">
        <v>0</v>
      </c>
      <c r="F1649">
        <v>0</v>
      </c>
      <c r="G1649">
        <v>0</v>
      </c>
      <c r="H1649">
        <v>50</v>
      </c>
      <c r="I1649" s="183" t="s">
        <v>1098</v>
      </c>
      <c r="J1649" s="183" t="s">
        <v>12055</v>
      </c>
      <c r="K1649">
        <v>0</v>
      </c>
      <c r="L1649">
        <v>50</v>
      </c>
    </row>
    <row r="1650" spans="1:12">
      <c r="A1650" s="183" t="s">
        <v>2447</v>
      </c>
      <c r="B1650" s="183" t="s">
        <v>2448</v>
      </c>
      <c r="C1650">
        <v>50238201</v>
      </c>
      <c r="D1650">
        <v>75</v>
      </c>
      <c r="E1650">
        <v>0</v>
      </c>
      <c r="F1650">
        <v>0</v>
      </c>
      <c r="G1650">
        <v>0</v>
      </c>
      <c r="H1650">
        <v>75</v>
      </c>
      <c r="I1650" s="183" t="s">
        <v>1098</v>
      </c>
      <c r="J1650" s="183" t="s">
        <v>12052</v>
      </c>
      <c r="K1650">
        <v>0</v>
      </c>
      <c r="L1650">
        <v>75</v>
      </c>
    </row>
    <row r="1651" spans="1:12">
      <c r="A1651" s="183" t="s">
        <v>1460</v>
      </c>
      <c r="B1651" s="183" t="s">
        <v>1461</v>
      </c>
      <c r="C1651">
        <v>50238203</v>
      </c>
      <c r="D1651">
        <v>46</v>
      </c>
      <c r="E1651">
        <v>0</v>
      </c>
      <c r="F1651">
        <v>0</v>
      </c>
      <c r="G1651">
        <v>0</v>
      </c>
      <c r="H1651">
        <v>46</v>
      </c>
      <c r="I1651" s="183" t="s">
        <v>1098</v>
      </c>
      <c r="J1651" s="183" t="s">
        <v>12050</v>
      </c>
      <c r="K1651">
        <v>0</v>
      </c>
      <c r="L1651">
        <v>46</v>
      </c>
    </row>
    <row r="1652" spans="1:12">
      <c r="A1652" s="183" t="s">
        <v>7238</v>
      </c>
      <c r="B1652" s="183" t="s">
        <v>7239</v>
      </c>
      <c r="C1652">
        <v>50238515</v>
      </c>
      <c r="D1652">
        <v>19</v>
      </c>
      <c r="E1652">
        <v>0</v>
      </c>
      <c r="F1652">
        <v>0</v>
      </c>
      <c r="G1652">
        <v>0</v>
      </c>
      <c r="H1652">
        <v>19</v>
      </c>
      <c r="I1652" s="183" t="s">
        <v>1098</v>
      </c>
      <c r="J1652" s="183" t="s">
        <v>12057</v>
      </c>
      <c r="K1652">
        <v>0</v>
      </c>
      <c r="L1652">
        <v>19</v>
      </c>
    </row>
    <row r="1653" spans="1:12">
      <c r="A1653" s="183" t="s">
        <v>8424</v>
      </c>
      <c r="B1653" s="183" t="s">
        <v>8425</v>
      </c>
      <c r="C1653">
        <v>50240201</v>
      </c>
      <c r="D1653">
        <v>50</v>
      </c>
      <c r="E1653">
        <v>0</v>
      </c>
      <c r="F1653">
        <v>0</v>
      </c>
      <c r="G1653">
        <v>0</v>
      </c>
      <c r="H1653">
        <v>50</v>
      </c>
      <c r="I1653" s="183" t="s">
        <v>1098</v>
      </c>
      <c r="J1653" s="183" t="s">
        <v>12053</v>
      </c>
      <c r="K1653">
        <v>0</v>
      </c>
      <c r="L1653">
        <v>50</v>
      </c>
    </row>
    <row r="1654" spans="1:12">
      <c r="A1654" s="183" t="s">
        <v>8370</v>
      </c>
      <c r="B1654" s="183" t="s">
        <v>8371</v>
      </c>
      <c r="C1654">
        <v>50240208</v>
      </c>
      <c r="D1654">
        <v>50</v>
      </c>
      <c r="E1654">
        <v>0</v>
      </c>
      <c r="F1654">
        <v>0</v>
      </c>
      <c r="G1654">
        <v>0</v>
      </c>
      <c r="H1654">
        <v>50</v>
      </c>
      <c r="I1654" s="183" t="s">
        <v>1098</v>
      </c>
      <c r="J1654" s="183" t="s">
        <v>12067</v>
      </c>
      <c r="K1654">
        <v>0</v>
      </c>
      <c r="L1654">
        <v>50</v>
      </c>
    </row>
    <row r="1655" spans="1:12">
      <c r="A1655" s="183" t="s">
        <v>2135</v>
      </c>
      <c r="B1655" s="183" t="s">
        <v>2136</v>
      </c>
      <c r="C1655">
        <v>50240210</v>
      </c>
      <c r="D1655">
        <v>90</v>
      </c>
      <c r="E1655">
        <v>0</v>
      </c>
      <c r="F1655">
        <v>0</v>
      </c>
      <c r="G1655">
        <v>0</v>
      </c>
      <c r="H1655">
        <v>90</v>
      </c>
      <c r="I1655" s="183" t="s">
        <v>1098</v>
      </c>
      <c r="J1655" s="183" t="s">
        <v>12054</v>
      </c>
      <c r="K1655">
        <v>0</v>
      </c>
      <c r="L1655">
        <v>90</v>
      </c>
    </row>
    <row r="1656" spans="1:12">
      <c r="A1656" s="183" t="s">
        <v>8035</v>
      </c>
      <c r="B1656" s="183" t="s">
        <v>8036</v>
      </c>
      <c r="C1656">
        <v>50240217</v>
      </c>
      <c r="D1656">
        <v>46</v>
      </c>
      <c r="E1656">
        <v>0</v>
      </c>
      <c r="F1656">
        <v>0</v>
      </c>
      <c r="G1656">
        <v>0</v>
      </c>
      <c r="H1656">
        <v>46</v>
      </c>
      <c r="I1656" s="183" t="s">
        <v>1098</v>
      </c>
      <c r="J1656" s="183" t="s">
        <v>12054</v>
      </c>
      <c r="K1656">
        <v>0</v>
      </c>
      <c r="L1656">
        <v>46</v>
      </c>
    </row>
    <row r="1657" spans="1:12">
      <c r="A1657" s="183" t="s">
        <v>8274</v>
      </c>
      <c r="B1657" s="183" t="s">
        <v>8275</v>
      </c>
      <c r="C1657">
        <v>50240517</v>
      </c>
      <c r="D1657">
        <v>49</v>
      </c>
      <c r="E1657">
        <v>0</v>
      </c>
      <c r="F1657">
        <v>0</v>
      </c>
      <c r="G1657">
        <v>0</v>
      </c>
      <c r="H1657">
        <v>49</v>
      </c>
      <c r="I1657" s="183" t="s">
        <v>1098</v>
      </c>
      <c r="J1657" s="183" t="s">
        <v>12052</v>
      </c>
      <c r="K1657">
        <v>0</v>
      </c>
      <c r="L1657">
        <v>49</v>
      </c>
    </row>
    <row r="1658" spans="1:12">
      <c r="A1658" s="183" t="s">
        <v>142</v>
      </c>
      <c r="B1658" s="183" t="s">
        <v>143</v>
      </c>
      <c r="C1658">
        <v>37178203</v>
      </c>
      <c r="D1658" s="501">
        <v>2054</v>
      </c>
      <c r="E1658">
        <v>0</v>
      </c>
      <c r="F1658">
        <v>53</v>
      </c>
      <c r="G1658">
        <v>0</v>
      </c>
      <c r="H1658" s="501">
        <v>2107</v>
      </c>
      <c r="I1658" s="183" t="s">
        <v>1016</v>
      </c>
      <c r="J1658" s="183" t="s">
        <v>12081</v>
      </c>
      <c r="K1658">
        <v>0</v>
      </c>
      <c r="L1658" s="501">
        <v>2054</v>
      </c>
    </row>
    <row r="1659" spans="1:12">
      <c r="A1659" s="183" t="s">
        <v>6829</v>
      </c>
      <c r="B1659" s="183" t="s">
        <v>6830</v>
      </c>
      <c r="C1659">
        <v>37178206</v>
      </c>
      <c r="D1659" s="501">
        <v>1076</v>
      </c>
      <c r="E1659">
        <v>0</v>
      </c>
      <c r="F1659">
        <v>0</v>
      </c>
      <c r="G1659">
        <v>0</v>
      </c>
      <c r="H1659" s="501">
        <v>1076</v>
      </c>
      <c r="I1659" s="183" t="s">
        <v>1016</v>
      </c>
      <c r="J1659" s="183" t="s">
        <v>12050</v>
      </c>
      <c r="K1659">
        <v>0</v>
      </c>
      <c r="L1659" s="501">
        <v>1076</v>
      </c>
    </row>
    <row r="1660" spans="1:12">
      <c r="A1660" s="183" t="s">
        <v>6831</v>
      </c>
      <c r="B1660" s="183" t="s">
        <v>6832</v>
      </c>
      <c r="C1660">
        <v>37178210</v>
      </c>
      <c r="D1660" s="501">
        <v>1192</v>
      </c>
      <c r="E1660">
        <v>0</v>
      </c>
      <c r="F1660">
        <v>0</v>
      </c>
      <c r="G1660">
        <v>0</v>
      </c>
      <c r="H1660" s="501">
        <v>1192</v>
      </c>
      <c r="I1660" s="183" t="s">
        <v>1016</v>
      </c>
      <c r="J1660" s="183" t="s">
        <v>12092</v>
      </c>
      <c r="K1660">
        <v>0</v>
      </c>
      <c r="L1660" s="501">
        <v>1192</v>
      </c>
    </row>
    <row r="1661" spans="1:12">
      <c r="A1661" s="183" t="s">
        <v>6823</v>
      </c>
      <c r="B1661" s="183" t="s">
        <v>6824</v>
      </c>
      <c r="C1661">
        <v>37178215</v>
      </c>
      <c r="D1661" s="501">
        <v>1737</v>
      </c>
      <c r="E1661">
        <v>0</v>
      </c>
      <c r="F1661">
        <v>0</v>
      </c>
      <c r="G1661">
        <v>0</v>
      </c>
      <c r="H1661" s="501">
        <v>1737</v>
      </c>
      <c r="I1661" s="183" t="s">
        <v>1016</v>
      </c>
      <c r="J1661" s="183" t="s">
        <v>12054</v>
      </c>
      <c r="K1661">
        <v>0</v>
      </c>
      <c r="L1661" s="501">
        <v>1737</v>
      </c>
    </row>
    <row r="1662" spans="1:12">
      <c r="A1662" s="183" t="s">
        <v>144</v>
      </c>
      <c r="B1662" s="183" t="s">
        <v>145</v>
      </c>
      <c r="C1662">
        <v>37178223</v>
      </c>
      <c r="D1662">
        <v>804</v>
      </c>
      <c r="E1662">
        <v>0</v>
      </c>
      <c r="F1662">
        <v>0</v>
      </c>
      <c r="G1662">
        <v>0</v>
      </c>
      <c r="H1662">
        <v>804</v>
      </c>
      <c r="I1662" s="183" t="s">
        <v>1016</v>
      </c>
      <c r="J1662" s="183" t="s">
        <v>12063</v>
      </c>
      <c r="K1662">
        <v>0</v>
      </c>
      <c r="L1662">
        <v>804</v>
      </c>
    </row>
    <row r="1663" spans="1:12">
      <c r="A1663" s="183" t="s">
        <v>154</v>
      </c>
      <c r="B1663" s="183" t="s">
        <v>155</v>
      </c>
      <c r="C1663">
        <v>37178248</v>
      </c>
      <c r="D1663">
        <v>116</v>
      </c>
      <c r="E1663">
        <v>0</v>
      </c>
      <c r="F1663">
        <v>1</v>
      </c>
      <c r="G1663">
        <v>0</v>
      </c>
      <c r="H1663">
        <v>117</v>
      </c>
      <c r="I1663" s="183" t="s">
        <v>1016</v>
      </c>
      <c r="J1663" s="183" t="s">
        <v>12060</v>
      </c>
      <c r="K1663">
        <v>0</v>
      </c>
      <c r="L1663">
        <v>116</v>
      </c>
    </row>
    <row r="1664" spans="1:12">
      <c r="A1664" s="183" t="s">
        <v>4235</v>
      </c>
      <c r="B1664" s="183" t="s">
        <v>3978</v>
      </c>
      <c r="C1664">
        <v>8800268998376</v>
      </c>
      <c r="D1664">
        <v>55</v>
      </c>
      <c r="E1664">
        <v>0</v>
      </c>
      <c r="F1664">
        <v>0</v>
      </c>
      <c r="G1664">
        <v>0</v>
      </c>
      <c r="H1664">
        <v>55</v>
      </c>
      <c r="I1664" s="183" t="s">
        <v>3979</v>
      </c>
      <c r="J1664" s="183" t="s">
        <v>12087</v>
      </c>
      <c r="K1664">
        <v>0</v>
      </c>
      <c r="L1664">
        <v>55</v>
      </c>
    </row>
    <row r="1665" spans="1:12">
      <c r="A1665" s="183" t="s">
        <v>4477</v>
      </c>
      <c r="B1665" s="183" t="s">
        <v>3978</v>
      </c>
      <c r="C1665">
        <v>8800268998413</v>
      </c>
      <c r="D1665">
        <v>35</v>
      </c>
      <c r="E1665">
        <v>0</v>
      </c>
      <c r="F1665">
        <v>0</v>
      </c>
      <c r="G1665">
        <v>0</v>
      </c>
      <c r="H1665">
        <v>35</v>
      </c>
      <c r="I1665" s="183" t="s">
        <v>3979</v>
      </c>
      <c r="J1665" s="183" t="s">
        <v>12066</v>
      </c>
      <c r="K1665">
        <v>0</v>
      </c>
      <c r="L1665">
        <v>35</v>
      </c>
    </row>
    <row r="1666" spans="1:12">
      <c r="A1666" s="183" t="s">
        <v>4670</v>
      </c>
      <c r="B1666" s="183" t="s">
        <v>3978</v>
      </c>
      <c r="C1666">
        <v>8800268998444</v>
      </c>
      <c r="D1666">
        <v>37</v>
      </c>
      <c r="E1666">
        <v>0</v>
      </c>
      <c r="F1666">
        <v>0</v>
      </c>
      <c r="G1666">
        <v>0</v>
      </c>
      <c r="H1666">
        <v>37</v>
      </c>
      <c r="I1666" s="183" t="s">
        <v>3979</v>
      </c>
      <c r="J1666" s="183" t="s">
        <v>12094</v>
      </c>
      <c r="K1666">
        <v>0</v>
      </c>
      <c r="L1666">
        <v>37</v>
      </c>
    </row>
    <row r="1667" spans="1:12">
      <c r="A1667" s="183" t="s">
        <v>4011</v>
      </c>
      <c r="B1667" s="183" t="s">
        <v>3978</v>
      </c>
      <c r="C1667">
        <v>8800268998451</v>
      </c>
      <c r="D1667">
        <v>16</v>
      </c>
      <c r="E1667">
        <v>0</v>
      </c>
      <c r="F1667">
        <v>0</v>
      </c>
      <c r="G1667">
        <v>0</v>
      </c>
      <c r="H1667">
        <v>16</v>
      </c>
      <c r="I1667" s="183" t="s">
        <v>3979</v>
      </c>
      <c r="J1667" s="183" t="s">
        <v>12060</v>
      </c>
      <c r="K1667">
        <v>0</v>
      </c>
      <c r="L1667">
        <v>16</v>
      </c>
    </row>
    <row r="1668" spans="1:12">
      <c r="A1668" s="183" t="s">
        <v>4157</v>
      </c>
      <c r="B1668" s="183" t="s">
        <v>3978</v>
      </c>
      <c r="C1668">
        <v>8800268998529</v>
      </c>
      <c r="D1668">
        <v>110</v>
      </c>
      <c r="E1668">
        <v>0</v>
      </c>
      <c r="F1668">
        <v>0</v>
      </c>
      <c r="G1668">
        <v>0</v>
      </c>
      <c r="H1668">
        <v>110</v>
      </c>
      <c r="I1668" s="183" t="s">
        <v>3979</v>
      </c>
      <c r="J1668" s="183" t="s">
        <v>12067</v>
      </c>
      <c r="K1668">
        <v>0</v>
      </c>
      <c r="L1668">
        <v>110</v>
      </c>
    </row>
    <row r="1669" spans="1:12">
      <c r="A1669" s="183" t="s">
        <v>4064</v>
      </c>
      <c r="B1669" s="183" t="s">
        <v>3978</v>
      </c>
      <c r="C1669">
        <v>8800268998536</v>
      </c>
      <c r="D1669">
        <v>45</v>
      </c>
      <c r="E1669">
        <v>0</v>
      </c>
      <c r="F1669">
        <v>0</v>
      </c>
      <c r="G1669">
        <v>0</v>
      </c>
      <c r="H1669">
        <v>45</v>
      </c>
      <c r="I1669" s="183" t="s">
        <v>3979</v>
      </c>
      <c r="J1669" s="183" t="s">
        <v>12059</v>
      </c>
      <c r="K1669">
        <v>0</v>
      </c>
      <c r="L1669">
        <v>45</v>
      </c>
    </row>
    <row r="1670" spans="1:12">
      <c r="A1670" s="183" t="s">
        <v>4052</v>
      </c>
      <c r="B1670" s="183" t="s">
        <v>3978</v>
      </c>
      <c r="C1670">
        <v>8800268998604</v>
      </c>
      <c r="D1670">
        <v>11</v>
      </c>
      <c r="E1670">
        <v>0</v>
      </c>
      <c r="F1670">
        <v>0</v>
      </c>
      <c r="G1670">
        <v>0</v>
      </c>
      <c r="H1670">
        <v>11</v>
      </c>
      <c r="I1670" s="183" t="s">
        <v>3979</v>
      </c>
      <c r="J1670" s="183" t="s">
        <v>12081</v>
      </c>
      <c r="K1670">
        <v>0</v>
      </c>
      <c r="L1670">
        <v>11</v>
      </c>
    </row>
    <row r="1671" spans="1:12">
      <c r="A1671" s="183" t="s">
        <v>4096</v>
      </c>
      <c r="B1671" s="183" t="s">
        <v>3978</v>
      </c>
      <c r="C1671">
        <v>8800268998680</v>
      </c>
      <c r="D1671">
        <v>32</v>
      </c>
      <c r="E1671">
        <v>0</v>
      </c>
      <c r="F1671">
        <v>0</v>
      </c>
      <c r="G1671">
        <v>0</v>
      </c>
      <c r="H1671">
        <v>32</v>
      </c>
      <c r="I1671" s="183" t="s">
        <v>3979</v>
      </c>
      <c r="J1671" s="183" t="s">
        <v>12092</v>
      </c>
      <c r="K1671">
        <v>0</v>
      </c>
      <c r="L1671">
        <v>32</v>
      </c>
    </row>
    <row r="1672" spans="1:12">
      <c r="A1672" s="183" t="s">
        <v>4009</v>
      </c>
      <c r="B1672" s="183" t="s">
        <v>3978</v>
      </c>
      <c r="C1672">
        <v>8800268998871</v>
      </c>
      <c r="D1672">
        <v>44</v>
      </c>
      <c r="E1672">
        <v>0</v>
      </c>
      <c r="F1672">
        <v>0</v>
      </c>
      <c r="G1672">
        <v>0</v>
      </c>
      <c r="H1672">
        <v>44</v>
      </c>
      <c r="I1672" s="183" t="s">
        <v>3979</v>
      </c>
      <c r="J1672" s="183" t="s">
        <v>12053</v>
      </c>
      <c r="K1672">
        <v>0</v>
      </c>
      <c r="L1672">
        <v>44</v>
      </c>
    </row>
    <row r="1673" spans="1:12">
      <c r="A1673" s="183" t="s">
        <v>4236</v>
      </c>
      <c r="B1673" s="183" t="s">
        <v>3978</v>
      </c>
      <c r="C1673">
        <v>8800268998994</v>
      </c>
      <c r="D1673">
        <v>37</v>
      </c>
      <c r="E1673">
        <v>0</v>
      </c>
      <c r="F1673">
        <v>0</v>
      </c>
      <c r="G1673">
        <v>0</v>
      </c>
      <c r="H1673">
        <v>37</v>
      </c>
      <c r="I1673" s="183" t="s">
        <v>3979</v>
      </c>
      <c r="J1673" s="183" t="s">
        <v>12085</v>
      </c>
      <c r="K1673">
        <v>0</v>
      </c>
      <c r="L1673">
        <v>37</v>
      </c>
    </row>
    <row r="1674" spans="1:12">
      <c r="A1674" s="183" t="s">
        <v>4636</v>
      </c>
      <c r="B1674" s="183" t="s">
        <v>3978</v>
      </c>
      <c r="C1674">
        <v>8800268999236</v>
      </c>
      <c r="D1674">
        <v>22</v>
      </c>
      <c r="E1674">
        <v>0</v>
      </c>
      <c r="F1674">
        <v>0</v>
      </c>
      <c r="G1674">
        <v>0</v>
      </c>
      <c r="H1674">
        <v>22</v>
      </c>
      <c r="I1674" s="183" t="s">
        <v>3979</v>
      </c>
      <c r="J1674" s="183" t="s">
        <v>12091</v>
      </c>
      <c r="K1674">
        <v>0</v>
      </c>
      <c r="L1674">
        <v>22</v>
      </c>
    </row>
    <row r="1675" spans="1:12">
      <c r="A1675" s="183" t="s">
        <v>4478</v>
      </c>
      <c r="B1675" s="183" t="s">
        <v>3978</v>
      </c>
      <c r="C1675">
        <v>8800268999250</v>
      </c>
      <c r="D1675">
        <v>122</v>
      </c>
      <c r="E1675">
        <v>0</v>
      </c>
      <c r="F1675">
        <v>0</v>
      </c>
      <c r="G1675">
        <v>0</v>
      </c>
      <c r="H1675">
        <v>122</v>
      </c>
      <c r="I1675" s="183" t="s">
        <v>3979</v>
      </c>
      <c r="J1675" s="183" t="s">
        <v>12053</v>
      </c>
      <c r="K1675">
        <v>0</v>
      </c>
      <c r="L1675">
        <v>122</v>
      </c>
    </row>
    <row r="1676" spans="1:12">
      <c r="A1676" s="183" t="s">
        <v>4285</v>
      </c>
      <c r="B1676" s="183" t="s">
        <v>3978</v>
      </c>
      <c r="C1676">
        <v>8800268999373</v>
      </c>
      <c r="D1676">
        <v>52</v>
      </c>
      <c r="E1676">
        <v>0</v>
      </c>
      <c r="F1676">
        <v>0</v>
      </c>
      <c r="G1676">
        <v>0</v>
      </c>
      <c r="H1676">
        <v>52</v>
      </c>
      <c r="I1676" s="183" t="s">
        <v>3979</v>
      </c>
      <c r="J1676" s="183" t="s">
        <v>12063</v>
      </c>
      <c r="K1676">
        <v>0</v>
      </c>
      <c r="L1676">
        <v>52</v>
      </c>
    </row>
    <row r="1677" spans="1:12">
      <c r="A1677" s="183" t="s">
        <v>4667</v>
      </c>
      <c r="B1677" s="183" t="s">
        <v>3978</v>
      </c>
      <c r="C1677">
        <v>8800268999380</v>
      </c>
      <c r="D1677">
        <v>25</v>
      </c>
      <c r="E1677">
        <v>0</v>
      </c>
      <c r="F1677">
        <v>0</v>
      </c>
      <c r="G1677">
        <v>0</v>
      </c>
      <c r="H1677">
        <v>25</v>
      </c>
      <c r="I1677" s="183" t="s">
        <v>3979</v>
      </c>
      <c r="J1677" s="183" t="s">
        <v>12095</v>
      </c>
      <c r="K1677">
        <v>0</v>
      </c>
      <c r="L1677">
        <v>25</v>
      </c>
    </row>
    <row r="1678" spans="1:12">
      <c r="A1678" s="183" t="s">
        <v>4097</v>
      </c>
      <c r="B1678" s="183" t="s">
        <v>3978</v>
      </c>
      <c r="C1678">
        <v>8800268999397</v>
      </c>
      <c r="D1678">
        <v>52</v>
      </c>
      <c r="E1678">
        <v>0</v>
      </c>
      <c r="F1678">
        <v>0</v>
      </c>
      <c r="G1678">
        <v>0</v>
      </c>
      <c r="H1678">
        <v>52</v>
      </c>
      <c r="I1678" s="183" t="s">
        <v>3979</v>
      </c>
      <c r="J1678" s="183" t="s">
        <v>12048</v>
      </c>
      <c r="K1678">
        <v>0</v>
      </c>
      <c r="L1678">
        <v>52</v>
      </c>
    </row>
    <row r="1679" spans="1:12">
      <c r="A1679" s="183" t="s">
        <v>3993</v>
      </c>
      <c r="B1679" s="183" t="s">
        <v>3978</v>
      </c>
      <c r="C1679">
        <v>8800268999403</v>
      </c>
      <c r="D1679">
        <v>72</v>
      </c>
      <c r="E1679">
        <v>0</v>
      </c>
      <c r="F1679">
        <v>0</v>
      </c>
      <c r="G1679">
        <v>0</v>
      </c>
      <c r="H1679">
        <v>72</v>
      </c>
      <c r="I1679" s="183" t="s">
        <v>3979</v>
      </c>
      <c r="J1679" s="183" t="s">
        <v>12063</v>
      </c>
      <c r="K1679">
        <v>0</v>
      </c>
      <c r="L1679">
        <v>72</v>
      </c>
    </row>
    <row r="1680" spans="1:12">
      <c r="A1680" s="183" t="s">
        <v>3991</v>
      </c>
      <c r="B1680" s="183" t="s">
        <v>3978</v>
      </c>
      <c r="C1680">
        <v>8800268999458</v>
      </c>
      <c r="D1680">
        <v>117</v>
      </c>
      <c r="E1680">
        <v>0</v>
      </c>
      <c r="F1680">
        <v>0</v>
      </c>
      <c r="G1680">
        <v>0</v>
      </c>
      <c r="H1680">
        <v>117</v>
      </c>
      <c r="I1680" s="183" t="s">
        <v>3979</v>
      </c>
      <c r="J1680" s="183" t="s">
        <v>12066</v>
      </c>
      <c r="K1680">
        <v>0</v>
      </c>
      <c r="L1680">
        <v>117</v>
      </c>
    </row>
    <row r="1681" spans="1:12">
      <c r="A1681" s="183" t="s">
        <v>4286</v>
      </c>
      <c r="B1681" s="183" t="s">
        <v>3978</v>
      </c>
      <c r="C1681">
        <v>8800268999465</v>
      </c>
      <c r="D1681">
        <v>243</v>
      </c>
      <c r="E1681">
        <v>0</v>
      </c>
      <c r="F1681">
        <v>0</v>
      </c>
      <c r="G1681">
        <v>0</v>
      </c>
      <c r="H1681">
        <v>243</v>
      </c>
      <c r="I1681" s="183" t="s">
        <v>3979</v>
      </c>
      <c r="J1681" s="183" t="s">
        <v>12087</v>
      </c>
      <c r="K1681">
        <v>0</v>
      </c>
      <c r="L1681">
        <v>243</v>
      </c>
    </row>
    <row r="1682" spans="1:12">
      <c r="A1682" s="183" t="s">
        <v>4216</v>
      </c>
      <c r="B1682" s="183" t="s">
        <v>3978</v>
      </c>
      <c r="C1682">
        <v>8800268999618</v>
      </c>
      <c r="D1682">
        <v>255</v>
      </c>
      <c r="E1682">
        <v>0</v>
      </c>
      <c r="F1682">
        <v>0</v>
      </c>
      <c r="G1682">
        <v>0</v>
      </c>
      <c r="H1682">
        <v>255</v>
      </c>
      <c r="I1682" s="183" t="s">
        <v>3979</v>
      </c>
      <c r="J1682" s="183" t="s">
        <v>12053</v>
      </c>
      <c r="K1682">
        <v>0</v>
      </c>
      <c r="L1682">
        <v>255</v>
      </c>
    </row>
    <row r="1683" spans="1:12">
      <c r="A1683" s="183" t="s">
        <v>4217</v>
      </c>
      <c r="B1683" s="183" t="s">
        <v>3978</v>
      </c>
      <c r="C1683">
        <v>8800268999649</v>
      </c>
      <c r="D1683">
        <v>6</v>
      </c>
      <c r="E1683">
        <v>0</v>
      </c>
      <c r="F1683">
        <v>0</v>
      </c>
      <c r="G1683">
        <v>0</v>
      </c>
      <c r="H1683">
        <v>6</v>
      </c>
      <c r="I1683" s="183" t="s">
        <v>3979</v>
      </c>
      <c r="J1683" s="183" t="s">
        <v>12048</v>
      </c>
      <c r="K1683">
        <v>0</v>
      </c>
      <c r="L1683">
        <v>6</v>
      </c>
    </row>
    <row r="1684" spans="1:12">
      <c r="A1684" s="183" t="s">
        <v>4077</v>
      </c>
      <c r="B1684" s="183" t="s">
        <v>3978</v>
      </c>
      <c r="C1684">
        <v>8800268999656</v>
      </c>
      <c r="D1684">
        <v>8</v>
      </c>
      <c r="E1684">
        <v>0</v>
      </c>
      <c r="F1684">
        <v>0</v>
      </c>
      <c r="G1684">
        <v>0</v>
      </c>
      <c r="H1684">
        <v>8</v>
      </c>
      <c r="I1684" s="183" t="s">
        <v>3979</v>
      </c>
      <c r="J1684" s="183" t="s">
        <v>12048</v>
      </c>
      <c r="K1684">
        <v>0</v>
      </c>
      <c r="L1684">
        <v>8</v>
      </c>
    </row>
    <row r="1685" spans="1:12">
      <c r="A1685" s="183" t="s">
        <v>4010</v>
      </c>
      <c r="B1685" s="183" t="s">
        <v>3978</v>
      </c>
      <c r="C1685">
        <v>8800268999731</v>
      </c>
      <c r="D1685">
        <v>22</v>
      </c>
      <c r="E1685">
        <v>0</v>
      </c>
      <c r="F1685">
        <v>0</v>
      </c>
      <c r="G1685">
        <v>0</v>
      </c>
      <c r="H1685">
        <v>22</v>
      </c>
      <c r="I1685" s="183" t="s">
        <v>3979</v>
      </c>
      <c r="J1685" s="183" t="s">
        <v>12048</v>
      </c>
      <c r="K1685">
        <v>0</v>
      </c>
      <c r="L1685">
        <v>22</v>
      </c>
    </row>
    <row r="1686" spans="1:12">
      <c r="A1686" s="183" t="s">
        <v>4609</v>
      </c>
      <c r="B1686" s="183" t="s">
        <v>4610</v>
      </c>
      <c r="C1686">
        <v>8809069476267</v>
      </c>
      <c r="D1686">
        <v>8</v>
      </c>
      <c r="E1686">
        <v>0</v>
      </c>
      <c r="F1686">
        <v>0</v>
      </c>
      <c r="G1686">
        <v>0</v>
      </c>
      <c r="H1686">
        <v>8</v>
      </c>
      <c r="I1686" s="183" t="s">
        <v>4611</v>
      </c>
      <c r="J1686" s="183" t="s">
        <v>12056</v>
      </c>
      <c r="K1686">
        <v>0</v>
      </c>
      <c r="L1686">
        <v>8</v>
      </c>
    </row>
    <row r="1687" spans="1:12">
      <c r="A1687" s="183" t="s">
        <v>4046</v>
      </c>
      <c r="B1687" s="183" t="s">
        <v>3978</v>
      </c>
      <c r="C1687">
        <v>8800268998277</v>
      </c>
      <c r="D1687">
        <v>23</v>
      </c>
      <c r="E1687">
        <v>0</v>
      </c>
      <c r="F1687">
        <v>0</v>
      </c>
      <c r="G1687">
        <v>0</v>
      </c>
      <c r="H1687">
        <v>23</v>
      </c>
      <c r="I1687" s="183" t="s">
        <v>3979</v>
      </c>
      <c r="J1687" s="183" t="s">
        <v>12063</v>
      </c>
      <c r="K1687">
        <v>0</v>
      </c>
      <c r="L1687">
        <v>23</v>
      </c>
    </row>
    <row r="1688" spans="1:12">
      <c r="A1688" s="183" t="s">
        <v>4662</v>
      </c>
      <c r="B1688" s="183" t="s">
        <v>3978</v>
      </c>
      <c r="C1688">
        <v>8800268998338</v>
      </c>
      <c r="D1688">
        <v>14</v>
      </c>
      <c r="E1688">
        <v>0</v>
      </c>
      <c r="F1688">
        <v>0</v>
      </c>
      <c r="G1688">
        <v>0</v>
      </c>
      <c r="H1688">
        <v>14</v>
      </c>
      <c r="I1688" s="183" t="s">
        <v>3979</v>
      </c>
      <c r="J1688" s="183" t="s">
        <v>12066</v>
      </c>
      <c r="K1688">
        <v>0</v>
      </c>
      <c r="L1688">
        <v>14</v>
      </c>
    </row>
    <row r="1689" spans="1:12">
      <c r="A1689" s="183" t="s">
        <v>4267</v>
      </c>
      <c r="B1689" s="183" t="s">
        <v>3978</v>
      </c>
      <c r="C1689">
        <v>8800268998345</v>
      </c>
      <c r="D1689">
        <v>7</v>
      </c>
      <c r="E1689">
        <v>0</v>
      </c>
      <c r="F1689">
        <v>0</v>
      </c>
      <c r="G1689">
        <v>0</v>
      </c>
      <c r="H1689">
        <v>7</v>
      </c>
      <c r="I1689" s="183" t="s">
        <v>3979</v>
      </c>
      <c r="J1689" s="183" t="s">
        <v>12085</v>
      </c>
      <c r="K1689">
        <v>0</v>
      </c>
      <c r="L1689">
        <v>7</v>
      </c>
    </row>
    <row r="1690" spans="1:12">
      <c r="A1690" s="183" t="s">
        <v>4345</v>
      </c>
      <c r="B1690" s="183" t="s">
        <v>3978</v>
      </c>
      <c r="C1690">
        <v>8800268998512</v>
      </c>
      <c r="D1690">
        <v>15</v>
      </c>
      <c r="E1690">
        <v>0</v>
      </c>
      <c r="F1690">
        <v>0</v>
      </c>
      <c r="G1690">
        <v>0</v>
      </c>
      <c r="H1690">
        <v>15</v>
      </c>
      <c r="I1690" s="183" t="s">
        <v>3979</v>
      </c>
      <c r="J1690" s="183" t="s">
        <v>12059</v>
      </c>
      <c r="K1690">
        <v>0</v>
      </c>
      <c r="L1690">
        <v>15</v>
      </c>
    </row>
    <row r="1691" spans="1:12">
      <c r="A1691" s="183" t="s">
        <v>4471</v>
      </c>
      <c r="B1691" s="183" t="s">
        <v>3978</v>
      </c>
      <c r="C1691">
        <v>8800268998635</v>
      </c>
      <c r="D1691">
        <v>16</v>
      </c>
      <c r="E1691">
        <v>0</v>
      </c>
      <c r="F1691">
        <v>0</v>
      </c>
      <c r="G1691">
        <v>0</v>
      </c>
      <c r="H1691">
        <v>16</v>
      </c>
      <c r="I1691" s="183" t="s">
        <v>3979</v>
      </c>
      <c r="J1691" s="183" t="s">
        <v>12081</v>
      </c>
      <c r="K1691">
        <v>0</v>
      </c>
      <c r="L1691">
        <v>16</v>
      </c>
    </row>
    <row r="1692" spans="1:12">
      <c r="A1692" s="183" t="s">
        <v>4632</v>
      </c>
      <c r="B1692" s="183" t="s">
        <v>3978</v>
      </c>
      <c r="C1692">
        <v>8800268998666</v>
      </c>
      <c r="D1692">
        <v>29</v>
      </c>
      <c r="E1692">
        <v>0</v>
      </c>
      <c r="F1692">
        <v>0</v>
      </c>
      <c r="G1692">
        <v>0</v>
      </c>
      <c r="H1692">
        <v>29</v>
      </c>
      <c r="I1692" s="183" t="s">
        <v>3979</v>
      </c>
      <c r="J1692" s="183" t="s">
        <v>12093</v>
      </c>
      <c r="K1692">
        <v>0</v>
      </c>
      <c r="L1692">
        <v>29</v>
      </c>
    </row>
    <row r="1693" spans="1:12">
      <c r="A1693" s="183" t="s">
        <v>4055</v>
      </c>
      <c r="B1693" s="183" t="s">
        <v>3978</v>
      </c>
      <c r="C1693">
        <v>8800268998727</v>
      </c>
      <c r="D1693">
        <v>33</v>
      </c>
      <c r="E1693">
        <v>0</v>
      </c>
      <c r="F1693">
        <v>0</v>
      </c>
      <c r="G1693">
        <v>0</v>
      </c>
      <c r="H1693">
        <v>33</v>
      </c>
      <c r="I1693" s="183" t="s">
        <v>3979</v>
      </c>
      <c r="J1693" s="183" t="s">
        <v>12092</v>
      </c>
      <c r="K1693">
        <v>0</v>
      </c>
      <c r="L1693">
        <v>33</v>
      </c>
    </row>
    <row r="1694" spans="1:12">
      <c r="A1694" s="183" t="s">
        <v>4056</v>
      </c>
      <c r="B1694" s="183" t="s">
        <v>3978</v>
      </c>
      <c r="C1694">
        <v>8800268998734</v>
      </c>
      <c r="D1694">
        <v>2</v>
      </c>
      <c r="E1694">
        <v>0</v>
      </c>
      <c r="F1694">
        <v>0</v>
      </c>
      <c r="G1694">
        <v>0</v>
      </c>
      <c r="H1694">
        <v>2</v>
      </c>
      <c r="I1694" s="183" t="s">
        <v>3979</v>
      </c>
      <c r="J1694" s="183" t="s">
        <v>12092</v>
      </c>
      <c r="K1694">
        <v>0</v>
      </c>
      <c r="L1694">
        <v>2</v>
      </c>
    </row>
    <row r="1695" spans="1:12">
      <c r="A1695" s="183" t="s">
        <v>4268</v>
      </c>
      <c r="B1695" s="183" t="s">
        <v>3978</v>
      </c>
      <c r="C1695">
        <v>8800268998918</v>
      </c>
      <c r="D1695">
        <v>136</v>
      </c>
      <c r="E1695">
        <v>0</v>
      </c>
      <c r="F1695">
        <v>0</v>
      </c>
      <c r="G1695">
        <v>0</v>
      </c>
      <c r="H1695">
        <v>136</v>
      </c>
      <c r="I1695" s="183" t="s">
        <v>3979</v>
      </c>
      <c r="J1695" s="183" t="s">
        <v>12094</v>
      </c>
      <c r="K1695">
        <v>0</v>
      </c>
      <c r="L1695">
        <v>136</v>
      </c>
    </row>
    <row r="1696" spans="1:12">
      <c r="A1696" s="183" t="s">
        <v>4269</v>
      </c>
      <c r="B1696" s="183" t="s">
        <v>3978</v>
      </c>
      <c r="C1696">
        <v>8800268999168</v>
      </c>
      <c r="D1696">
        <v>165</v>
      </c>
      <c r="E1696">
        <v>0</v>
      </c>
      <c r="F1696">
        <v>0</v>
      </c>
      <c r="G1696">
        <v>0</v>
      </c>
      <c r="H1696">
        <v>165</v>
      </c>
      <c r="I1696" s="183" t="s">
        <v>3979</v>
      </c>
      <c r="J1696" s="183" t="s">
        <v>12095</v>
      </c>
      <c r="K1696">
        <v>0</v>
      </c>
      <c r="L1696">
        <v>165</v>
      </c>
    </row>
    <row r="1697" spans="1:12">
      <c r="A1697" s="183" t="s">
        <v>4270</v>
      </c>
      <c r="B1697" s="183" t="s">
        <v>3978</v>
      </c>
      <c r="C1697">
        <v>8800268999366</v>
      </c>
      <c r="D1697">
        <v>34</v>
      </c>
      <c r="E1697">
        <v>0</v>
      </c>
      <c r="F1697">
        <v>0</v>
      </c>
      <c r="G1697">
        <v>0</v>
      </c>
      <c r="H1697">
        <v>34</v>
      </c>
      <c r="I1697" s="183" t="s">
        <v>3979</v>
      </c>
      <c r="J1697" s="183" t="s">
        <v>12095</v>
      </c>
      <c r="K1697">
        <v>0</v>
      </c>
      <c r="L1697">
        <v>34</v>
      </c>
    </row>
    <row r="1698" spans="1:12">
      <c r="A1698" s="183" t="s">
        <v>4031</v>
      </c>
      <c r="B1698" s="183" t="s">
        <v>3978</v>
      </c>
      <c r="C1698">
        <v>8800268999472</v>
      </c>
      <c r="D1698">
        <v>6</v>
      </c>
      <c r="E1698">
        <v>0</v>
      </c>
      <c r="F1698">
        <v>0</v>
      </c>
      <c r="G1698">
        <v>0</v>
      </c>
      <c r="H1698">
        <v>6</v>
      </c>
      <c r="I1698" s="183" t="s">
        <v>3979</v>
      </c>
      <c r="J1698" s="183" t="s">
        <v>12063</v>
      </c>
      <c r="K1698">
        <v>0</v>
      </c>
      <c r="L1698">
        <v>6</v>
      </c>
    </row>
    <row r="1699" spans="1:12">
      <c r="A1699" s="183" t="s">
        <v>4633</v>
      </c>
      <c r="B1699" s="183" t="s">
        <v>3978</v>
      </c>
      <c r="C1699">
        <v>8800268999533</v>
      </c>
      <c r="D1699">
        <v>22</v>
      </c>
      <c r="E1699">
        <v>0</v>
      </c>
      <c r="F1699">
        <v>0</v>
      </c>
      <c r="G1699">
        <v>0</v>
      </c>
      <c r="H1699">
        <v>22</v>
      </c>
      <c r="I1699" s="183" t="s">
        <v>3979</v>
      </c>
      <c r="J1699" s="183" t="s">
        <v>12093</v>
      </c>
      <c r="K1699">
        <v>0</v>
      </c>
      <c r="L1699">
        <v>22</v>
      </c>
    </row>
    <row r="1700" spans="1:12">
      <c r="A1700" s="183" t="s">
        <v>4472</v>
      </c>
      <c r="B1700" s="183" t="s">
        <v>3978</v>
      </c>
      <c r="C1700">
        <v>8800268999571</v>
      </c>
      <c r="D1700">
        <v>25</v>
      </c>
      <c r="E1700">
        <v>0</v>
      </c>
      <c r="F1700">
        <v>0</v>
      </c>
      <c r="G1700">
        <v>0</v>
      </c>
      <c r="H1700">
        <v>25</v>
      </c>
      <c r="I1700" s="183" t="s">
        <v>3979</v>
      </c>
      <c r="J1700" s="183" t="s">
        <v>12066</v>
      </c>
      <c r="K1700">
        <v>0</v>
      </c>
      <c r="L1700">
        <v>25</v>
      </c>
    </row>
    <row r="1701" spans="1:12">
      <c r="A1701" s="183" t="s">
        <v>4033</v>
      </c>
      <c r="B1701" s="183" t="s">
        <v>3978</v>
      </c>
      <c r="C1701">
        <v>8800268999670</v>
      </c>
      <c r="D1701">
        <v>67</v>
      </c>
      <c r="E1701">
        <v>0</v>
      </c>
      <c r="F1701">
        <v>0</v>
      </c>
      <c r="G1701">
        <v>0</v>
      </c>
      <c r="H1701">
        <v>67</v>
      </c>
      <c r="I1701" s="183" t="s">
        <v>3979</v>
      </c>
      <c r="J1701" s="183" t="s">
        <v>12081</v>
      </c>
      <c r="K1701">
        <v>0</v>
      </c>
      <c r="L1701">
        <v>67</v>
      </c>
    </row>
    <row r="1702" spans="1:12">
      <c r="A1702" s="183" t="s">
        <v>4098</v>
      </c>
      <c r="B1702" s="183" t="s">
        <v>3978</v>
      </c>
      <c r="C1702">
        <v>8800268999779</v>
      </c>
      <c r="D1702">
        <v>72</v>
      </c>
      <c r="E1702">
        <v>0</v>
      </c>
      <c r="F1702">
        <v>0</v>
      </c>
      <c r="G1702">
        <v>0</v>
      </c>
      <c r="H1702">
        <v>72</v>
      </c>
      <c r="I1702" s="183" t="s">
        <v>3979</v>
      </c>
      <c r="J1702" s="183" t="s">
        <v>12081</v>
      </c>
      <c r="K1702">
        <v>0</v>
      </c>
      <c r="L1702">
        <v>72</v>
      </c>
    </row>
    <row r="1703" spans="1:12">
      <c r="A1703" s="183" t="s">
        <v>4212</v>
      </c>
      <c r="B1703" s="183" t="s">
        <v>3978</v>
      </c>
      <c r="C1703">
        <v>8800268999793</v>
      </c>
      <c r="D1703">
        <v>18</v>
      </c>
      <c r="E1703">
        <v>0</v>
      </c>
      <c r="F1703">
        <v>0</v>
      </c>
      <c r="G1703">
        <v>0</v>
      </c>
      <c r="H1703">
        <v>18</v>
      </c>
      <c r="I1703" s="183" t="s">
        <v>3979</v>
      </c>
      <c r="J1703" s="183" t="s">
        <v>12091</v>
      </c>
      <c r="K1703">
        <v>0</v>
      </c>
      <c r="L1703">
        <v>18</v>
      </c>
    </row>
    <row r="1704" spans="1:12">
      <c r="A1704" s="183" t="s">
        <v>4473</v>
      </c>
      <c r="B1704" s="183" t="s">
        <v>3978</v>
      </c>
      <c r="C1704">
        <v>8800268999878</v>
      </c>
      <c r="D1704">
        <v>144</v>
      </c>
      <c r="E1704">
        <v>0</v>
      </c>
      <c r="F1704">
        <v>0</v>
      </c>
      <c r="G1704">
        <v>0</v>
      </c>
      <c r="H1704">
        <v>144</v>
      </c>
      <c r="I1704" s="183" t="s">
        <v>3979</v>
      </c>
      <c r="J1704" s="183" t="s">
        <v>12095</v>
      </c>
      <c r="K1704">
        <v>0</v>
      </c>
      <c r="L1704">
        <v>144</v>
      </c>
    </row>
    <row r="1705" spans="1:12">
      <c r="A1705" s="183" t="s">
        <v>4213</v>
      </c>
      <c r="B1705" s="183" t="s">
        <v>3978</v>
      </c>
      <c r="C1705">
        <v>8800268999946</v>
      </c>
      <c r="D1705">
        <v>23</v>
      </c>
      <c r="E1705">
        <v>0</v>
      </c>
      <c r="F1705">
        <v>0</v>
      </c>
      <c r="G1705">
        <v>0</v>
      </c>
      <c r="H1705">
        <v>23</v>
      </c>
      <c r="I1705" s="183" t="s">
        <v>3979</v>
      </c>
      <c r="J1705" s="183" t="s">
        <v>12067</v>
      </c>
      <c r="K1705">
        <v>0</v>
      </c>
      <c r="L1705">
        <v>23</v>
      </c>
    </row>
    <row r="1706" spans="1:12">
      <c r="A1706" s="183" t="s">
        <v>4214</v>
      </c>
      <c r="B1706" s="183" t="s">
        <v>3978</v>
      </c>
      <c r="C1706">
        <v>8800269000054</v>
      </c>
      <c r="D1706">
        <v>11</v>
      </c>
      <c r="E1706">
        <v>0</v>
      </c>
      <c r="F1706">
        <v>0</v>
      </c>
      <c r="G1706">
        <v>0</v>
      </c>
      <c r="H1706">
        <v>11</v>
      </c>
      <c r="I1706" s="183" t="s">
        <v>3979</v>
      </c>
      <c r="J1706" s="183" t="s">
        <v>12093</v>
      </c>
      <c r="K1706">
        <v>0</v>
      </c>
      <c r="L1706">
        <v>11</v>
      </c>
    </row>
    <row r="1707" spans="1:12">
      <c r="A1707" s="183" t="s">
        <v>4179</v>
      </c>
      <c r="B1707" s="183" t="s">
        <v>3978</v>
      </c>
      <c r="C1707">
        <v>8800269000061</v>
      </c>
      <c r="D1707">
        <v>14</v>
      </c>
      <c r="E1707">
        <v>0</v>
      </c>
      <c r="F1707">
        <v>0</v>
      </c>
      <c r="G1707">
        <v>0</v>
      </c>
      <c r="H1707">
        <v>14</v>
      </c>
      <c r="I1707" s="183" t="s">
        <v>3979</v>
      </c>
      <c r="J1707" s="183" t="s">
        <v>12092</v>
      </c>
      <c r="K1707">
        <v>0</v>
      </c>
      <c r="L1707">
        <v>14</v>
      </c>
    </row>
    <row r="1708" spans="1:12">
      <c r="A1708" s="183" t="s">
        <v>4453</v>
      </c>
      <c r="B1708" s="183" t="s">
        <v>3978</v>
      </c>
      <c r="C1708">
        <v>8800269000092</v>
      </c>
      <c r="D1708">
        <v>40</v>
      </c>
      <c r="E1708">
        <v>0</v>
      </c>
      <c r="F1708">
        <v>0</v>
      </c>
      <c r="G1708">
        <v>0</v>
      </c>
      <c r="H1708">
        <v>40</v>
      </c>
      <c r="I1708" s="183" t="s">
        <v>3979</v>
      </c>
      <c r="J1708" s="183" t="s">
        <v>12093</v>
      </c>
      <c r="K1708">
        <v>0</v>
      </c>
      <c r="L1708">
        <v>40</v>
      </c>
    </row>
    <row r="1709" spans="1:12">
      <c r="A1709" s="183" t="s">
        <v>4271</v>
      </c>
      <c r="B1709" s="183" t="s">
        <v>3978</v>
      </c>
      <c r="C1709">
        <v>8800269000122</v>
      </c>
      <c r="D1709">
        <v>31</v>
      </c>
      <c r="E1709">
        <v>0</v>
      </c>
      <c r="F1709">
        <v>0</v>
      </c>
      <c r="G1709">
        <v>0</v>
      </c>
      <c r="H1709">
        <v>31</v>
      </c>
      <c r="I1709" s="183" t="s">
        <v>3979</v>
      </c>
      <c r="J1709" s="183" t="s">
        <v>12081</v>
      </c>
      <c r="K1709">
        <v>0</v>
      </c>
      <c r="L1709">
        <v>31</v>
      </c>
    </row>
    <row r="1710" spans="1:12">
      <c r="A1710" s="183" t="s">
        <v>4035</v>
      </c>
      <c r="B1710" s="183" t="s">
        <v>3978</v>
      </c>
      <c r="C1710">
        <v>8800269000207</v>
      </c>
      <c r="D1710">
        <v>31</v>
      </c>
      <c r="E1710">
        <v>0</v>
      </c>
      <c r="F1710">
        <v>0</v>
      </c>
      <c r="G1710">
        <v>0</v>
      </c>
      <c r="H1710">
        <v>31</v>
      </c>
      <c r="I1710" s="183" t="s">
        <v>3979</v>
      </c>
      <c r="J1710" s="183" t="s">
        <v>12087</v>
      </c>
      <c r="K1710">
        <v>0</v>
      </c>
      <c r="L1710">
        <v>31</v>
      </c>
    </row>
    <row r="1711" spans="1:12">
      <c r="A1711" s="183" t="s">
        <v>4034</v>
      </c>
      <c r="B1711" s="183" t="s">
        <v>3978</v>
      </c>
      <c r="C1711">
        <v>8800269000382</v>
      </c>
      <c r="D1711">
        <v>94</v>
      </c>
      <c r="E1711">
        <v>0</v>
      </c>
      <c r="F1711">
        <v>0</v>
      </c>
      <c r="G1711">
        <v>0</v>
      </c>
      <c r="H1711">
        <v>94</v>
      </c>
      <c r="I1711" s="183" t="s">
        <v>3979</v>
      </c>
      <c r="J1711" s="183" t="s">
        <v>12094</v>
      </c>
      <c r="K1711">
        <v>0</v>
      </c>
      <c r="L1711">
        <v>94</v>
      </c>
    </row>
    <row r="1712" spans="1:12">
      <c r="A1712" s="183" t="s">
        <v>4138</v>
      </c>
      <c r="B1712" s="183" t="s">
        <v>3978</v>
      </c>
      <c r="C1712">
        <v>8800269000412</v>
      </c>
      <c r="D1712">
        <v>4</v>
      </c>
      <c r="E1712">
        <v>0</v>
      </c>
      <c r="F1712">
        <v>0</v>
      </c>
      <c r="G1712">
        <v>0</v>
      </c>
      <c r="H1712">
        <v>4</v>
      </c>
      <c r="I1712" s="183" t="s">
        <v>3979</v>
      </c>
      <c r="J1712" s="183" t="s">
        <v>12053</v>
      </c>
      <c r="K1712">
        <v>0</v>
      </c>
      <c r="L1712">
        <v>4</v>
      </c>
    </row>
    <row r="1713" spans="1:12">
      <c r="A1713" s="183" t="s">
        <v>4158</v>
      </c>
      <c r="B1713" s="183" t="s">
        <v>3978</v>
      </c>
      <c r="C1713">
        <v>8800269000504</v>
      </c>
      <c r="D1713">
        <v>4</v>
      </c>
      <c r="E1713">
        <v>0</v>
      </c>
      <c r="F1713">
        <v>0</v>
      </c>
      <c r="G1713">
        <v>0</v>
      </c>
      <c r="H1713">
        <v>4</v>
      </c>
      <c r="I1713" s="183" t="s">
        <v>3979</v>
      </c>
      <c r="J1713" s="183" t="s">
        <v>12067</v>
      </c>
      <c r="K1713">
        <v>0</v>
      </c>
      <c r="L1713">
        <v>4</v>
      </c>
    </row>
    <row r="1714" spans="1:12">
      <c r="A1714" s="183" t="s">
        <v>4149</v>
      </c>
      <c r="B1714" s="183" t="s">
        <v>3978</v>
      </c>
      <c r="C1714">
        <v>8800269000580</v>
      </c>
      <c r="D1714">
        <v>4</v>
      </c>
      <c r="E1714">
        <v>0</v>
      </c>
      <c r="F1714">
        <v>0</v>
      </c>
      <c r="G1714">
        <v>0</v>
      </c>
      <c r="H1714">
        <v>4</v>
      </c>
      <c r="I1714" s="183" t="s">
        <v>3979</v>
      </c>
      <c r="J1714" s="183" t="s">
        <v>12067</v>
      </c>
      <c r="K1714">
        <v>0</v>
      </c>
      <c r="L1714">
        <v>4</v>
      </c>
    </row>
    <row r="1715" spans="1:12">
      <c r="A1715" s="183" t="s">
        <v>4085</v>
      </c>
      <c r="B1715" s="183" t="s">
        <v>3978</v>
      </c>
      <c r="C1715">
        <v>8800269000757</v>
      </c>
      <c r="D1715">
        <v>50</v>
      </c>
      <c r="E1715">
        <v>0</v>
      </c>
      <c r="F1715">
        <v>0</v>
      </c>
      <c r="G1715">
        <v>0</v>
      </c>
      <c r="H1715">
        <v>50</v>
      </c>
      <c r="I1715" s="183" t="s">
        <v>3979</v>
      </c>
      <c r="J1715" s="183" t="s">
        <v>12085</v>
      </c>
      <c r="K1715">
        <v>0</v>
      </c>
      <c r="L1715">
        <v>50</v>
      </c>
    </row>
    <row r="1716" spans="1:12">
      <c r="A1716" s="183" t="s">
        <v>4245</v>
      </c>
      <c r="B1716" s="183" t="s">
        <v>3978</v>
      </c>
      <c r="C1716">
        <v>8800269000825</v>
      </c>
      <c r="D1716">
        <v>50</v>
      </c>
      <c r="E1716">
        <v>0</v>
      </c>
      <c r="F1716">
        <v>0</v>
      </c>
      <c r="G1716">
        <v>0</v>
      </c>
      <c r="H1716">
        <v>50</v>
      </c>
      <c r="I1716" s="183" t="s">
        <v>3979</v>
      </c>
      <c r="J1716" s="183" t="s">
        <v>12063</v>
      </c>
      <c r="K1716">
        <v>0</v>
      </c>
      <c r="L1716">
        <v>50</v>
      </c>
    </row>
    <row r="1717" spans="1:12">
      <c r="A1717" s="183" t="s">
        <v>4186</v>
      </c>
      <c r="B1717" s="183" t="s">
        <v>3978</v>
      </c>
      <c r="C1717">
        <v>8800269001006</v>
      </c>
      <c r="D1717">
        <v>87</v>
      </c>
      <c r="E1717">
        <v>0</v>
      </c>
      <c r="F1717">
        <v>0</v>
      </c>
      <c r="G1717">
        <v>0</v>
      </c>
      <c r="H1717">
        <v>87</v>
      </c>
      <c r="I1717" s="183" t="s">
        <v>3979</v>
      </c>
      <c r="J1717" s="183" t="s">
        <v>12063</v>
      </c>
      <c r="K1717">
        <v>0</v>
      </c>
      <c r="L1717">
        <v>87</v>
      </c>
    </row>
    <row r="1718" spans="1:12">
      <c r="A1718" s="183" t="s">
        <v>4099</v>
      </c>
      <c r="B1718" s="183" t="s">
        <v>3978</v>
      </c>
      <c r="C1718">
        <v>8800269001099</v>
      </c>
      <c r="D1718">
        <v>38</v>
      </c>
      <c r="E1718">
        <v>0</v>
      </c>
      <c r="F1718">
        <v>0</v>
      </c>
      <c r="G1718">
        <v>0</v>
      </c>
      <c r="H1718">
        <v>38</v>
      </c>
      <c r="I1718" s="183" t="s">
        <v>3979</v>
      </c>
      <c r="J1718" s="183" t="s">
        <v>12085</v>
      </c>
      <c r="K1718">
        <v>0</v>
      </c>
      <c r="L1718">
        <v>38</v>
      </c>
    </row>
    <row r="1719" spans="1:12">
      <c r="A1719" s="183" t="s">
        <v>4220</v>
      </c>
      <c r="B1719" s="183" t="s">
        <v>3978</v>
      </c>
      <c r="C1719">
        <v>8800269001143</v>
      </c>
      <c r="D1719">
        <v>25</v>
      </c>
      <c r="E1719">
        <v>0</v>
      </c>
      <c r="F1719">
        <v>0</v>
      </c>
      <c r="G1719">
        <v>0</v>
      </c>
      <c r="H1719">
        <v>25</v>
      </c>
      <c r="I1719" s="183" t="s">
        <v>3979</v>
      </c>
      <c r="J1719" s="183" t="s">
        <v>12092</v>
      </c>
      <c r="K1719">
        <v>0</v>
      </c>
      <c r="L1719">
        <v>25</v>
      </c>
    </row>
    <row r="1720" spans="1:12">
      <c r="A1720" s="183" t="s">
        <v>4221</v>
      </c>
      <c r="B1720" s="183" t="s">
        <v>3978</v>
      </c>
      <c r="C1720">
        <v>8800269001174</v>
      </c>
      <c r="D1720">
        <v>88</v>
      </c>
      <c r="E1720">
        <v>0</v>
      </c>
      <c r="F1720">
        <v>0</v>
      </c>
      <c r="G1720">
        <v>0</v>
      </c>
      <c r="H1720">
        <v>88</v>
      </c>
      <c r="I1720" s="183" t="s">
        <v>3979</v>
      </c>
      <c r="J1720" s="183" t="s">
        <v>12081</v>
      </c>
      <c r="K1720">
        <v>0</v>
      </c>
      <c r="L1720">
        <v>88</v>
      </c>
    </row>
    <row r="1721" spans="1:12">
      <c r="A1721" s="183" t="s">
        <v>4032</v>
      </c>
      <c r="B1721" s="183" t="s">
        <v>3978</v>
      </c>
      <c r="C1721">
        <v>8800269001266</v>
      </c>
      <c r="D1721">
        <v>197</v>
      </c>
      <c r="E1721">
        <v>0</v>
      </c>
      <c r="F1721">
        <v>0</v>
      </c>
      <c r="G1721">
        <v>0</v>
      </c>
      <c r="H1721">
        <v>197</v>
      </c>
      <c r="I1721" s="183" t="s">
        <v>3979</v>
      </c>
      <c r="J1721" s="183" t="s">
        <v>12093</v>
      </c>
      <c r="K1721">
        <v>0</v>
      </c>
      <c r="L1721">
        <v>197</v>
      </c>
    </row>
    <row r="1722" spans="1:12">
      <c r="A1722" s="183" t="s">
        <v>4150</v>
      </c>
      <c r="B1722" s="183" t="s">
        <v>3978</v>
      </c>
      <c r="C1722">
        <v>8800269001297</v>
      </c>
      <c r="D1722">
        <v>39</v>
      </c>
      <c r="E1722">
        <v>0</v>
      </c>
      <c r="F1722">
        <v>0</v>
      </c>
      <c r="G1722">
        <v>0</v>
      </c>
      <c r="H1722">
        <v>39</v>
      </c>
      <c r="I1722" s="183" t="s">
        <v>3979</v>
      </c>
      <c r="J1722" s="183" t="s">
        <v>12053</v>
      </c>
      <c r="K1722">
        <v>0</v>
      </c>
      <c r="L1722">
        <v>39</v>
      </c>
    </row>
    <row r="1723" spans="1:12">
      <c r="A1723" s="183" t="s">
        <v>4024</v>
      </c>
      <c r="B1723" s="183" t="s">
        <v>3978</v>
      </c>
      <c r="C1723">
        <v>8800269001419</v>
      </c>
      <c r="D1723">
        <v>89</v>
      </c>
      <c r="E1723">
        <v>0</v>
      </c>
      <c r="F1723">
        <v>0</v>
      </c>
      <c r="G1723">
        <v>0</v>
      </c>
      <c r="H1723">
        <v>89</v>
      </c>
      <c r="I1723" s="183" t="s">
        <v>3979</v>
      </c>
      <c r="J1723" s="183" t="s">
        <v>12093</v>
      </c>
      <c r="K1723">
        <v>0</v>
      </c>
      <c r="L1723">
        <v>89</v>
      </c>
    </row>
    <row r="1724" spans="1:12">
      <c r="A1724" s="183" t="s">
        <v>4012</v>
      </c>
      <c r="B1724" s="183" t="s">
        <v>3978</v>
      </c>
      <c r="C1724">
        <v>8800269001433</v>
      </c>
      <c r="D1724">
        <v>127</v>
      </c>
      <c r="E1724">
        <v>0</v>
      </c>
      <c r="F1724">
        <v>0</v>
      </c>
      <c r="G1724">
        <v>0</v>
      </c>
      <c r="H1724">
        <v>127</v>
      </c>
      <c r="I1724" s="183" t="s">
        <v>3979</v>
      </c>
      <c r="J1724" s="183" t="s">
        <v>12095</v>
      </c>
      <c r="K1724">
        <v>0</v>
      </c>
      <c r="L1724">
        <v>127</v>
      </c>
    </row>
    <row r="1725" spans="1:12">
      <c r="A1725" s="183" t="s">
        <v>4036</v>
      </c>
      <c r="B1725" s="183" t="s">
        <v>3978</v>
      </c>
      <c r="C1725">
        <v>8800269001501</v>
      </c>
      <c r="D1725">
        <v>39</v>
      </c>
      <c r="E1725">
        <v>0</v>
      </c>
      <c r="F1725">
        <v>0</v>
      </c>
      <c r="G1725">
        <v>0</v>
      </c>
      <c r="H1725">
        <v>39</v>
      </c>
      <c r="I1725" s="183" t="s">
        <v>3979</v>
      </c>
      <c r="J1725" s="183" t="s">
        <v>12081</v>
      </c>
      <c r="K1725">
        <v>0</v>
      </c>
      <c r="L1725">
        <v>39</v>
      </c>
    </row>
    <row r="1726" spans="1:12">
      <c r="A1726" s="183" t="s">
        <v>4001</v>
      </c>
      <c r="B1726" s="183" t="s">
        <v>3978</v>
      </c>
      <c r="C1726">
        <v>8800269001716</v>
      </c>
      <c r="D1726">
        <v>29</v>
      </c>
      <c r="E1726">
        <v>0</v>
      </c>
      <c r="F1726">
        <v>0</v>
      </c>
      <c r="G1726">
        <v>0</v>
      </c>
      <c r="H1726">
        <v>29</v>
      </c>
      <c r="I1726" s="183" t="s">
        <v>3979</v>
      </c>
      <c r="J1726" s="183" t="s">
        <v>12092</v>
      </c>
      <c r="K1726">
        <v>0</v>
      </c>
      <c r="L1726">
        <v>29</v>
      </c>
    </row>
    <row r="1727" spans="1:12">
      <c r="A1727" s="183" t="s">
        <v>4635</v>
      </c>
      <c r="B1727" s="183" t="s">
        <v>3978</v>
      </c>
      <c r="C1727">
        <v>8800269001723</v>
      </c>
      <c r="D1727">
        <v>35</v>
      </c>
      <c r="E1727">
        <v>0</v>
      </c>
      <c r="F1727">
        <v>0</v>
      </c>
      <c r="G1727">
        <v>0</v>
      </c>
      <c r="H1727">
        <v>35</v>
      </c>
      <c r="I1727" s="183" t="s">
        <v>3979</v>
      </c>
      <c r="J1727" s="183" t="s">
        <v>12081</v>
      </c>
      <c r="K1727">
        <v>0</v>
      </c>
      <c r="L1727">
        <v>35</v>
      </c>
    </row>
    <row r="1728" spans="1:12">
      <c r="A1728" s="183" t="s">
        <v>4281</v>
      </c>
      <c r="B1728" s="183" t="s">
        <v>3978</v>
      </c>
      <c r="C1728">
        <v>8800269001860</v>
      </c>
      <c r="D1728">
        <v>20</v>
      </c>
      <c r="E1728">
        <v>0</v>
      </c>
      <c r="F1728">
        <v>0</v>
      </c>
      <c r="G1728">
        <v>0</v>
      </c>
      <c r="H1728">
        <v>20</v>
      </c>
      <c r="I1728" s="183" t="s">
        <v>3979</v>
      </c>
      <c r="J1728" s="183" t="s">
        <v>12081</v>
      </c>
      <c r="K1728">
        <v>0</v>
      </c>
      <c r="L1728">
        <v>20</v>
      </c>
    </row>
    <row r="1729" spans="1:12">
      <c r="A1729" s="183" t="s">
        <v>6835</v>
      </c>
      <c r="B1729" s="183" t="s">
        <v>6836</v>
      </c>
      <c r="C1729">
        <v>37178207</v>
      </c>
      <c r="D1729">
        <v>890</v>
      </c>
      <c r="E1729">
        <v>0</v>
      </c>
      <c r="F1729">
        <v>0</v>
      </c>
      <c r="G1729">
        <v>0</v>
      </c>
      <c r="H1729">
        <v>890</v>
      </c>
      <c r="I1729" s="183" t="s">
        <v>1016</v>
      </c>
      <c r="J1729" s="183" t="s">
        <v>12060</v>
      </c>
      <c r="K1729">
        <v>0</v>
      </c>
      <c r="L1729">
        <v>890</v>
      </c>
    </row>
    <row r="1730" spans="1:12">
      <c r="A1730" s="183" t="s">
        <v>7483</v>
      </c>
      <c r="B1730" s="183" t="s">
        <v>7484</v>
      </c>
      <c r="C1730">
        <v>37178212</v>
      </c>
      <c r="D1730" s="501">
        <v>1072</v>
      </c>
      <c r="E1730">
        <v>0</v>
      </c>
      <c r="F1730">
        <v>0</v>
      </c>
      <c r="G1730">
        <v>0</v>
      </c>
      <c r="H1730" s="501">
        <v>1072</v>
      </c>
      <c r="I1730" s="183" t="s">
        <v>1016</v>
      </c>
      <c r="J1730" s="183" t="s">
        <v>12048</v>
      </c>
      <c r="K1730">
        <v>0</v>
      </c>
      <c r="L1730" s="501">
        <v>1072</v>
      </c>
    </row>
    <row r="1731" spans="1:12">
      <c r="A1731" s="183" t="s">
        <v>6436</v>
      </c>
      <c r="B1731" s="183" t="s">
        <v>6437</v>
      </c>
      <c r="C1731">
        <v>37178213</v>
      </c>
      <c r="D1731" s="501">
        <v>1086</v>
      </c>
      <c r="E1731">
        <v>0</v>
      </c>
      <c r="F1731">
        <v>1</v>
      </c>
      <c r="G1731">
        <v>0</v>
      </c>
      <c r="H1731" s="501">
        <v>1087</v>
      </c>
      <c r="I1731" s="183" t="s">
        <v>1016</v>
      </c>
      <c r="J1731" s="183" t="s">
        <v>12066</v>
      </c>
      <c r="K1731">
        <v>0</v>
      </c>
      <c r="L1731" s="501">
        <v>1086</v>
      </c>
    </row>
    <row r="1732" spans="1:12">
      <c r="A1732" s="183" t="s">
        <v>6833</v>
      </c>
      <c r="B1732" s="183" t="s">
        <v>6834</v>
      </c>
      <c r="C1732">
        <v>37178222</v>
      </c>
      <c r="D1732">
        <v>635</v>
      </c>
      <c r="E1732">
        <v>0</v>
      </c>
      <c r="F1732">
        <v>0</v>
      </c>
      <c r="G1732">
        <v>0</v>
      </c>
      <c r="H1732">
        <v>635</v>
      </c>
      <c r="I1732" s="183" t="s">
        <v>1016</v>
      </c>
      <c r="J1732" s="183" t="s">
        <v>12059</v>
      </c>
      <c r="K1732">
        <v>0</v>
      </c>
      <c r="L1732">
        <v>635</v>
      </c>
    </row>
    <row r="1733" spans="1:12">
      <c r="A1733" s="183" t="s">
        <v>6280</v>
      </c>
      <c r="B1733" s="183" t="s">
        <v>6281</v>
      </c>
      <c r="C1733">
        <v>37178228</v>
      </c>
      <c r="D1733" s="501">
        <v>1221</v>
      </c>
      <c r="E1733">
        <v>0</v>
      </c>
      <c r="F1733">
        <v>2</v>
      </c>
      <c r="G1733">
        <v>0</v>
      </c>
      <c r="H1733" s="501">
        <v>1223</v>
      </c>
      <c r="I1733" s="183" t="s">
        <v>1016</v>
      </c>
      <c r="J1733" s="183" t="s">
        <v>12055</v>
      </c>
      <c r="K1733">
        <v>0</v>
      </c>
      <c r="L1733" s="501">
        <v>1221</v>
      </c>
    </row>
    <row r="1734" spans="1:12">
      <c r="A1734" s="183" t="s">
        <v>4051</v>
      </c>
      <c r="B1734" s="183" t="s">
        <v>3978</v>
      </c>
      <c r="C1734">
        <v>8800268998581</v>
      </c>
      <c r="D1734">
        <v>2</v>
      </c>
      <c r="E1734">
        <v>0</v>
      </c>
      <c r="F1734">
        <v>0</v>
      </c>
      <c r="G1734">
        <v>0</v>
      </c>
      <c r="H1734">
        <v>2</v>
      </c>
      <c r="I1734" s="183" t="s">
        <v>3979</v>
      </c>
      <c r="J1734" s="183" t="s">
        <v>12059</v>
      </c>
      <c r="K1734">
        <v>0</v>
      </c>
      <c r="L1734">
        <v>2</v>
      </c>
    </row>
    <row r="1735" spans="1:12">
      <c r="A1735" s="183" t="s">
        <v>4015</v>
      </c>
      <c r="B1735" s="183" t="s">
        <v>3978</v>
      </c>
      <c r="C1735">
        <v>8800268998628</v>
      </c>
      <c r="D1735">
        <v>39</v>
      </c>
      <c r="E1735">
        <v>0</v>
      </c>
      <c r="F1735">
        <v>0</v>
      </c>
      <c r="G1735">
        <v>0</v>
      </c>
      <c r="H1735">
        <v>39</v>
      </c>
      <c r="I1735" s="183" t="s">
        <v>3979</v>
      </c>
      <c r="J1735" s="183" t="s">
        <v>12092</v>
      </c>
      <c r="K1735">
        <v>0</v>
      </c>
      <c r="L1735">
        <v>39</v>
      </c>
    </row>
    <row r="1736" spans="1:12">
      <c r="A1736" s="183" t="s">
        <v>4237</v>
      </c>
      <c r="B1736" s="183" t="s">
        <v>3978</v>
      </c>
      <c r="C1736">
        <v>8800268998673</v>
      </c>
      <c r="D1736">
        <v>3</v>
      </c>
      <c r="E1736">
        <v>0</v>
      </c>
      <c r="F1736">
        <v>0</v>
      </c>
      <c r="G1736">
        <v>0</v>
      </c>
      <c r="H1736">
        <v>3</v>
      </c>
      <c r="I1736" s="183" t="s">
        <v>3979</v>
      </c>
      <c r="J1736" s="183" t="s">
        <v>12091</v>
      </c>
      <c r="K1736">
        <v>0</v>
      </c>
      <c r="L1736">
        <v>3</v>
      </c>
    </row>
    <row r="1737" spans="1:12">
      <c r="A1737" s="183" t="s">
        <v>4078</v>
      </c>
      <c r="B1737" s="183" t="s">
        <v>3978</v>
      </c>
      <c r="C1737">
        <v>8800268998710</v>
      </c>
      <c r="D1737">
        <v>146</v>
      </c>
      <c r="E1737">
        <v>0</v>
      </c>
      <c r="F1737">
        <v>0</v>
      </c>
      <c r="G1737">
        <v>0</v>
      </c>
      <c r="H1737">
        <v>146</v>
      </c>
      <c r="I1737" s="183" t="s">
        <v>3979</v>
      </c>
      <c r="J1737" s="183" t="s">
        <v>12067</v>
      </c>
      <c r="K1737">
        <v>0</v>
      </c>
      <c r="L1737">
        <v>146</v>
      </c>
    </row>
    <row r="1738" spans="1:12">
      <c r="A1738" s="183" t="s">
        <v>4016</v>
      </c>
      <c r="B1738" s="183" t="s">
        <v>3978</v>
      </c>
      <c r="C1738">
        <v>8800268998758</v>
      </c>
      <c r="D1738">
        <v>4</v>
      </c>
      <c r="E1738">
        <v>0</v>
      </c>
      <c r="F1738">
        <v>0</v>
      </c>
      <c r="G1738">
        <v>0</v>
      </c>
      <c r="H1738">
        <v>4</v>
      </c>
      <c r="I1738" s="183" t="s">
        <v>3979</v>
      </c>
      <c r="J1738" s="183" t="s">
        <v>12087</v>
      </c>
      <c r="K1738">
        <v>0</v>
      </c>
      <c r="L1738">
        <v>4</v>
      </c>
    </row>
    <row r="1739" spans="1:12">
      <c r="A1739" s="183" t="s">
        <v>4146</v>
      </c>
      <c r="B1739" s="183" t="s">
        <v>3978</v>
      </c>
      <c r="C1739">
        <v>8800268998772</v>
      </c>
      <c r="D1739">
        <v>29</v>
      </c>
      <c r="E1739">
        <v>0</v>
      </c>
      <c r="F1739">
        <v>0</v>
      </c>
      <c r="G1739">
        <v>0</v>
      </c>
      <c r="H1739">
        <v>29</v>
      </c>
      <c r="I1739" s="183" t="s">
        <v>3979</v>
      </c>
      <c r="J1739" s="183" t="s">
        <v>12092</v>
      </c>
      <c r="K1739">
        <v>0</v>
      </c>
      <c r="L1739">
        <v>29</v>
      </c>
    </row>
    <row r="1740" spans="1:12">
      <c r="A1740" s="183" t="s">
        <v>4468</v>
      </c>
      <c r="B1740" s="183" t="s">
        <v>3978</v>
      </c>
      <c r="C1740">
        <v>8800268998789</v>
      </c>
      <c r="D1740">
        <v>39</v>
      </c>
      <c r="E1740">
        <v>0</v>
      </c>
      <c r="F1740">
        <v>0</v>
      </c>
      <c r="G1740">
        <v>0</v>
      </c>
      <c r="H1740">
        <v>39</v>
      </c>
      <c r="I1740" s="183" t="s">
        <v>3979</v>
      </c>
      <c r="J1740" s="183" t="s">
        <v>12094</v>
      </c>
      <c r="K1740">
        <v>0</v>
      </c>
      <c r="L1740">
        <v>39</v>
      </c>
    </row>
    <row r="1741" spans="1:12">
      <c r="A1741" s="183" t="s">
        <v>4162</v>
      </c>
      <c r="B1741" s="183" t="s">
        <v>3978</v>
      </c>
      <c r="C1741">
        <v>8800268998826</v>
      </c>
      <c r="D1741">
        <v>55</v>
      </c>
      <c r="E1741">
        <v>0</v>
      </c>
      <c r="F1741">
        <v>0</v>
      </c>
      <c r="G1741">
        <v>0</v>
      </c>
      <c r="H1741">
        <v>55</v>
      </c>
      <c r="I1741" s="183" t="s">
        <v>3979</v>
      </c>
      <c r="J1741" s="183" t="s">
        <v>12093</v>
      </c>
      <c r="K1741">
        <v>0</v>
      </c>
      <c r="L1741">
        <v>55</v>
      </c>
    </row>
    <row r="1742" spans="1:12">
      <c r="A1742" s="183" t="s">
        <v>4101</v>
      </c>
      <c r="B1742" s="183" t="s">
        <v>3978</v>
      </c>
      <c r="C1742">
        <v>8800268998833</v>
      </c>
      <c r="D1742">
        <v>39</v>
      </c>
      <c r="E1742">
        <v>0</v>
      </c>
      <c r="F1742">
        <v>0</v>
      </c>
      <c r="G1742">
        <v>0</v>
      </c>
      <c r="H1742">
        <v>39</v>
      </c>
      <c r="I1742" s="183" t="s">
        <v>3979</v>
      </c>
      <c r="J1742" s="183" t="s">
        <v>12092</v>
      </c>
      <c r="K1742">
        <v>0</v>
      </c>
      <c r="L1742">
        <v>39</v>
      </c>
    </row>
    <row r="1743" spans="1:12">
      <c r="A1743" s="183" t="s">
        <v>4140</v>
      </c>
      <c r="B1743" s="183" t="s">
        <v>3978</v>
      </c>
      <c r="C1743">
        <v>8800268998925</v>
      </c>
      <c r="D1743">
        <v>37</v>
      </c>
      <c r="E1743">
        <v>0</v>
      </c>
      <c r="F1743">
        <v>0</v>
      </c>
      <c r="G1743">
        <v>0</v>
      </c>
      <c r="H1743">
        <v>37</v>
      </c>
      <c r="I1743" s="183" t="s">
        <v>3979</v>
      </c>
      <c r="J1743" s="183" t="s">
        <v>12092</v>
      </c>
      <c r="K1743">
        <v>0</v>
      </c>
      <c r="L1743">
        <v>37</v>
      </c>
    </row>
    <row r="1744" spans="1:12">
      <c r="A1744" s="183" t="s">
        <v>4346</v>
      </c>
      <c r="B1744" s="183" t="s">
        <v>3978</v>
      </c>
      <c r="C1744">
        <v>8800268998963</v>
      </c>
      <c r="D1744">
        <v>45</v>
      </c>
      <c r="E1744">
        <v>0</v>
      </c>
      <c r="F1744">
        <v>0</v>
      </c>
      <c r="G1744">
        <v>0</v>
      </c>
      <c r="H1744">
        <v>45</v>
      </c>
      <c r="I1744" s="183" t="s">
        <v>3979</v>
      </c>
      <c r="J1744" s="183" t="s">
        <v>12066</v>
      </c>
      <c r="K1744">
        <v>0</v>
      </c>
      <c r="L1744">
        <v>45</v>
      </c>
    </row>
    <row r="1745" spans="1:12">
      <c r="A1745" s="183" t="s">
        <v>4125</v>
      </c>
      <c r="B1745" s="183" t="s">
        <v>3978</v>
      </c>
      <c r="C1745">
        <v>8800268999120</v>
      </c>
      <c r="D1745">
        <v>75</v>
      </c>
      <c r="E1745">
        <v>0</v>
      </c>
      <c r="F1745">
        <v>0</v>
      </c>
      <c r="G1745">
        <v>0</v>
      </c>
      <c r="H1745">
        <v>75</v>
      </c>
      <c r="I1745" s="183" t="s">
        <v>3979</v>
      </c>
      <c r="J1745" s="183" t="s">
        <v>12063</v>
      </c>
      <c r="K1745">
        <v>0</v>
      </c>
      <c r="L1745">
        <v>75</v>
      </c>
    </row>
    <row r="1746" spans="1:12">
      <c r="A1746" s="183" t="s">
        <v>3977</v>
      </c>
      <c r="B1746" s="183" t="s">
        <v>3978</v>
      </c>
      <c r="C1746">
        <v>8800268999137</v>
      </c>
      <c r="D1746">
        <v>25</v>
      </c>
      <c r="E1746">
        <v>0</v>
      </c>
      <c r="F1746">
        <v>0</v>
      </c>
      <c r="G1746">
        <v>0</v>
      </c>
      <c r="H1746">
        <v>25</v>
      </c>
      <c r="I1746" s="183" t="s">
        <v>3979</v>
      </c>
      <c r="J1746" s="183" t="s">
        <v>12048</v>
      </c>
      <c r="K1746">
        <v>0</v>
      </c>
      <c r="L1746">
        <v>25</v>
      </c>
    </row>
    <row r="1747" spans="1:12">
      <c r="A1747" s="183" t="s">
        <v>4014</v>
      </c>
      <c r="B1747" s="183" t="s">
        <v>3978</v>
      </c>
      <c r="C1747">
        <v>8800268999175</v>
      </c>
      <c r="D1747">
        <v>38</v>
      </c>
      <c r="E1747">
        <v>0</v>
      </c>
      <c r="F1747">
        <v>0</v>
      </c>
      <c r="G1747">
        <v>0</v>
      </c>
      <c r="H1747">
        <v>38</v>
      </c>
      <c r="I1747" s="183" t="s">
        <v>3979</v>
      </c>
      <c r="J1747" s="183" t="s">
        <v>12093</v>
      </c>
      <c r="K1747">
        <v>0</v>
      </c>
      <c r="L1747">
        <v>38</v>
      </c>
    </row>
    <row r="1748" spans="1:12">
      <c r="A1748" s="183" t="s">
        <v>4079</v>
      </c>
      <c r="B1748" s="183" t="s">
        <v>3978</v>
      </c>
      <c r="C1748">
        <v>8800268999243</v>
      </c>
      <c r="D1748">
        <v>20</v>
      </c>
      <c r="E1748">
        <v>0</v>
      </c>
      <c r="F1748">
        <v>0</v>
      </c>
      <c r="G1748">
        <v>0</v>
      </c>
      <c r="H1748">
        <v>20</v>
      </c>
      <c r="I1748" s="183" t="s">
        <v>3979</v>
      </c>
      <c r="J1748" s="183" t="s">
        <v>12081</v>
      </c>
      <c r="K1748">
        <v>0</v>
      </c>
      <c r="L1748">
        <v>20</v>
      </c>
    </row>
    <row r="1749" spans="1:12">
      <c r="A1749" s="183" t="s">
        <v>4482</v>
      </c>
      <c r="B1749" s="183" t="s">
        <v>3978</v>
      </c>
      <c r="C1749">
        <v>8800268999427</v>
      </c>
      <c r="D1749">
        <v>6</v>
      </c>
      <c r="E1749">
        <v>0</v>
      </c>
      <c r="F1749">
        <v>0</v>
      </c>
      <c r="G1749">
        <v>0</v>
      </c>
      <c r="H1749">
        <v>6</v>
      </c>
      <c r="I1749" s="183" t="s">
        <v>3979</v>
      </c>
      <c r="J1749" s="183" t="s">
        <v>12048</v>
      </c>
      <c r="K1749">
        <v>0</v>
      </c>
      <c r="L1749">
        <v>6</v>
      </c>
    </row>
    <row r="1750" spans="1:12">
      <c r="A1750" s="183" t="s">
        <v>4050</v>
      </c>
      <c r="B1750" s="183" t="s">
        <v>3978</v>
      </c>
      <c r="C1750">
        <v>8800268999434</v>
      </c>
      <c r="D1750">
        <v>78</v>
      </c>
      <c r="E1750">
        <v>0</v>
      </c>
      <c r="F1750">
        <v>0</v>
      </c>
      <c r="G1750">
        <v>0</v>
      </c>
      <c r="H1750">
        <v>78</v>
      </c>
      <c r="I1750" s="183" t="s">
        <v>3979</v>
      </c>
      <c r="J1750" s="183" t="s">
        <v>12048</v>
      </c>
      <c r="K1750">
        <v>0</v>
      </c>
      <c r="L1750">
        <v>78</v>
      </c>
    </row>
    <row r="1751" spans="1:12">
      <c r="A1751" s="183" t="s">
        <v>4190</v>
      </c>
      <c r="B1751" s="183" t="s">
        <v>3978</v>
      </c>
      <c r="C1751">
        <v>8800268999694</v>
      </c>
      <c r="D1751">
        <v>64</v>
      </c>
      <c r="E1751">
        <v>0</v>
      </c>
      <c r="F1751">
        <v>0</v>
      </c>
      <c r="G1751">
        <v>0</v>
      </c>
      <c r="H1751">
        <v>64</v>
      </c>
      <c r="I1751" s="183" t="s">
        <v>3979</v>
      </c>
      <c r="J1751" s="183" t="s">
        <v>12048</v>
      </c>
      <c r="K1751">
        <v>0</v>
      </c>
      <c r="L1751">
        <v>64</v>
      </c>
    </row>
    <row r="1752" spans="1:12">
      <c r="A1752" s="183" t="s">
        <v>4469</v>
      </c>
      <c r="B1752" s="183" t="s">
        <v>3978</v>
      </c>
      <c r="C1752">
        <v>8800268999724</v>
      </c>
      <c r="D1752">
        <v>23</v>
      </c>
      <c r="E1752">
        <v>0</v>
      </c>
      <c r="F1752">
        <v>0</v>
      </c>
      <c r="G1752">
        <v>0</v>
      </c>
      <c r="H1752">
        <v>23</v>
      </c>
      <c r="I1752" s="183" t="s">
        <v>3979</v>
      </c>
      <c r="J1752" s="183" t="s">
        <v>12087</v>
      </c>
      <c r="K1752">
        <v>0</v>
      </c>
      <c r="L1752">
        <v>23</v>
      </c>
    </row>
    <row r="1753" spans="1:12">
      <c r="A1753" s="183" t="s">
        <v>4088</v>
      </c>
      <c r="B1753" s="183" t="s">
        <v>3978</v>
      </c>
      <c r="C1753">
        <v>8800268999847</v>
      </c>
      <c r="D1753">
        <v>151</v>
      </c>
      <c r="E1753">
        <v>0</v>
      </c>
      <c r="F1753">
        <v>0</v>
      </c>
      <c r="G1753">
        <v>0</v>
      </c>
      <c r="H1753">
        <v>151</v>
      </c>
      <c r="I1753" s="183" t="s">
        <v>3979</v>
      </c>
      <c r="J1753" s="183" t="s">
        <v>12053</v>
      </c>
      <c r="K1753">
        <v>0</v>
      </c>
      <c r="L1753">
        <v>151</v>
      </c>
    </row>
    <row r="1754" spans="1:12">
      <c r="A1754" s="183" t="s">
        <v>4265</v>
      </c>
      <c r="B1754" s="183" t="s">
        <v>3978</v>
      </c>
      <c r="C1754">
        <v>8800268999960</v>
      </c>
      <c r="D1754">
        <v>10</v>
      </c>
      <c r="E1754">
        <v>0</v>
      </c>
      <c r="F1754">
        <v>0</v>
      </c>
      <c r="G1754">
        <v>0</v>
      </c>
      <c r="H1754">
        <v>10</v>
      </c>
      <c r="I1754" s="183" t="s">
        <v>3979</v>
      </c>
      <c r="J1754" s="183" t="s">
        <v>12067</v>
      </c>
      <c r="K1754">
        <v>0</v>
      </c>
      <c r="L1754">
        <v>10</v>
      </c>
    </row>
    <row r="1755" spans="1:12">
      <c r="A1755" s="183" t="s">
        <v>4660</v>
      </c>
      <c r="B1755" s="183" t="s">
        <v>3978</v>
      </c>
      <c r="C1755">
        <v>8800268999984</v>
      </c>
      <c r="D1755">
        <v>8</v>
      </c>
      <c r="E1755">
        <v>0</v>
      </c>
      <c r="F1755">
        <v>0</v>
      </c>
      <c r="G1755">
        <v>0</v>
      </c>
      <c r="H1755">
        <v>8</v>
      </c>
      <c r="I1755" s="183" t="s">
        <v>3979</v>
      </c>
      <c r="J1755" s="183" t="s">
        <v>12094</v>
      </c>
      <c r="K1755">
        <v>0</v>
      </c>
      <c r="L1755">
        <v>8</v>
      </c>
    </row>
    <row r="1756" spans="1:12">
      <c r="A1756" s="183" t="s">
        <v>4160</v>
      </c>
      <c r="B1756" s="183" t="s">
        <v>3978</v>
      </c>
      <c r="C1756">
        <v>8800269000139</v>
      </c>
      <c r="D1756">
        <v>11</v>
      </c>
      <c r="E1756">
        <v>0</v>
      </c>
      <c r="F1756">
        <v>0</v>
      </c>
      <c r="G1756">
        <v>0</v>
      </c>
      <c r="H1756">
        <v>11</v>
      </c>
      <c r="I1756" s="183" t="s">
        <v>3979</v>
      </c>
      <c r="J1756" s="183" t="s">
        <v>12081</v>
      </c>
      <c r="K1756">
        <v>0</v>
      </c>
      <c r="L1756">
        <v>11</v>
      </c>
    </row>
    <row r="1757" spans="1:12">
      <c r="A1757" s="183" t="s">
        <v>4470</v>
      </c>
      <c r="B1757" s="183" t="s">
        <v>3978</v>
      </c>
      <c r="C1757">
        <v>8800269000221</v>
      </c>
      <c r="D1757">
        <v>105</v>
      </c>
      <c r="E1757">
        <v>0</v>
      </c>
      <c r="F1757">
        <v>0</v>
      </c>
      <c r="G1757">
        <v>0</v>
      </c>
      <c r="H1757">
        <v>105</v>
      </c>
      <c r="I1757" s="183" t="s">
        <v>3979</v>
      </c>
      <c r="J1757" s="183" t="s">
        <v>12092</v>
      </c>
      <c r="K1757">
        <v>0</v>
      </c>
      <c r="L1757">
        <v>105</v>
      </c>
    </row>
    <row r="1758" spans="1:12">
      <c r="A1758" s="183" t="s">
        <v>4266</v>
      </c>
      <c r="B1758" s="183" t="s">
        <v>3978</v>
      </c>
      <c r="C1758">
        <v>8800269000276</v>
      </c>
      <c r="D1758">
        <v>34</v>
      </c>
      <c r="E1758">
        <v>0</v>
      </c>
      <c r="F1758">
        <v>0</v>
      </c>
      <c r="G1758">
        <v>0</v>
      </c>
      <c r="H1758">
        <v>34</v>
      </c>
      <c r="I1758" s="183" t="s">
        <v>3979</v>
      </c>
      <c r="J1758" s="183" t="s">
        <v>12067</v>
      </c>
      <c r="K1758">
        <v>0</v>
      </c>
      <c r="L1758">
        <v>34</v>
      </c>
    </row>
    <row r="1759" spans="1:12">
      <c r="A1759" s="183" t="s">
        <v>4087</v>
      </c>
      <c r="B1759" s="183" t="s">
        <v>3978</v>
      </c>
      <c r="C1759">
        <v>8800269000498</v>
      </c>
      <c r="D1759">
        <v>45</v>
      </c>
      <c r="E1759">
        <v>0</v>
      </c>
      <c r="F1759">
        <v>0</v>
      </c>
      <c r="G1759">
        <v>0</v>
      </c>
      <c r="H1759">
        <v>45</v>
      </c>
      <c r="I1759" s="183" t="s">
        <v>3979</v>
      </c>
      <c r="J1759" s="183" t="s">
        <v>12081</v>
      </c>
      <c r="K1759">
        <v>0</v>
      </c>
      <c r="L1759">
        <v>45</v>
      </c>
    </row>
    <row r="1760" spans="1:12">
      <c r="A1760" s="183" t="s">
        <v>3987</v>
      </c>
      <c r="B1760" s="183" t="s">
        <v>3978</v>
      </c>
      <c r="C1760">
        <v>8800269000603</v>
      </c>
      <c r="D1760">
        <v>8</v>
      </c>
      <c r="E1760">
        <v>0</v>
      </c>
      <c r="F1760">
        <v>0</v>
      </c>
      <c r="G1760">
        <v>0</v>
      </c>
      <c r="H1760">
        <v>8</v>
      </c>
      <c r="I1760" s="183" t="s">
        <v>3979</v>
      </c>
      <c r="J1760" s="183" t="s">
        <v>12053</v>
      </c>
      <c r="K1760">
        <v>0</v>
      </c>
      <c r="L1760">
        <v>8</v>
      </c>
    </row>
    <row r="1761" spans="1:12">
      <c r="A1761" s="183" t="s">
        <v>4199</v>
      </c>
      <c r="B1761" s="183" t="s">
        <v>3978</v>
      </c>
      <c r="C1761">
        <v>8800269000795</v>
      </c>
      <c r="D1761">
        <v>39</v>
      </c>
      <c r="E1761">
        <v>0</v>
      </c>
      <c r="F1761">
        <v>0</v>
      </c>
      <c r="G1761">
        <v>0</v>
      </c>
      <c r="H1761">
        <v>39</v>
      </c>
      <c r="I1761" s="183" t="s">
        <v>3979</v>
      </c>
      <c r="J1761" s="183" t="s">
        <v>12087</v>
      </c>
      <c r="K1761">
        <v>0</v>
      </c>
      <c r="L1761">
        <v>39</v>
      </c>
    </row>
    <row r="1762" spans="1:12">
      <c r="A1762" s="183" t="s">
        <v>4080</v>
      </c>
      <c r="B1762" s="183" t="s">
        <v>3978</v>
      </c>
      <c r="C1762">
        <v>8800269000870</v>
      </c>
      <c r="D1762">
        <v>127</v>
      </c>
      <c r="E1762">
        <v>0</v>
      </c>
      <c r="F1762">
        <v>0</v>
      </c>
      <c r="G1762">
        <v>0</v>
      </c>
      <c r="H1762">
        <v>127</v>
      </c>
      <c r="I1762" s="183" t="s">
        <v>3979</v>
      </c>
      <c r="J1762" s="183" t="s">
        <v>12081</v>
      </c>
      <c r="K1762">
        <v>0</v>
      </c>
      <c r="L1762">
        <v>127</v>
      </c>
    </row>
    <row r="1763" spans="1:12">
      <c r="A1763" s="183" t="s">
        <v>4244</v>
      </c>
      <c r="B1763" s="183" t="s">
        <v>3978</v>
      </c>
      <c r="C1763">
        <v>8800269000948</v>
      </c>
      <c r="D1763">
        <v>72</v>
      </c>
      <c r="E1763">
        <v>0</v>
      </c>
      <c r="F1763">
        <v>0</v>
      </c>
      <c r="G1763">
        <v>0</v>
      </c>
      <c r="H1763">
        <v>72</v>
      </c>
      <c r="I1763" s="183" t="s">
        <v>3979</v>
      </c>
      <c r="J1763" s="183" t="s">
        <v>12087</v>
      </c>
      <c r="K1763">
        <v>0</v>
      </c>
      <c r="L1763">
        <v>72</v>
      </c>
    </row>
    <row r="1764" spans="1:12">
      <c r="A1764" s="183" t="s">
        <v>4159</v>
      </c>
      <c r="B1764" s="183" t="s">
        <v>3978</v>
      </c>
      <c r="C1764">
        <v>8800269000955</v>
      </c>
      <c r="D1764">
        <v>17</v>
      </c>
      <c r="E1764">
        <v>0</v>
      </c>
      <c r="F1764">
        <v>0</v>
      </c>
      <c r="G1764">
        <v>0</v>
      </c>
      <c r="H1764">
        <v>17</v>
      </c>
      <c r="I1764" s="183" t="s">
        <v>3979</v>
      </c>
      <c r="J1764" s="183" t="s">
        <v>12063</v>
      </c>
      <c r="K1764">
        <v>0</v>
      </c>
      <c r="L1764">
        <v>17</v>
      </c>
    </row>
    <row r="1765" spans="1:12">
      <c r="A1765" s="183" t="s">
        <v>4027</v>
      </c>
      <c r="B1765" s="183" t="s">
        <v>3978</v>
      </c>
      <c r="C1765">
        <v>8800269001044</v>
      </c>
      <c r="D1765">
        <v>132</v>
      </c>
      <c r="E1765">
        <v>0</v>
      </c>
      <c r="F1765">
        <v>0</v>
      </c>
      <c r="G1765">
        <v>0</v>
      </c>
      <c r="H1765">
        <v>132</v>
      </c>
      <c r="I1765" s="183" t="s">
        <v>3979</v>
      </c>
      <c r="J1765" s="183" t="s">
        <v>12066</v>
      </c>
      <c r="K1765">
        <v>0</v>
      </c>
      <c r="L1765">
        <v>132</v>
      </c>
    </row>
    <row r="1766" spans="1:12">
      <c r="A1766" s="183" t="s">
        <v>4161</v>
      </c>
      <c r="B1766" s="183" t="s">
        <v>3978</v>
      </c>
      <c r="C1766">
        <v>8800269001068</v>
      </c>
      <c r="D1766">
        <v>94</v>
      </c>
      <c r="E1766">
        <v>0</v>
      </c>
      <c r="F1766">
        <v>0</v>
      </c>
      <c r="G1766">
        <v>0</v>
      </c>
      <c r="H1766">
        <v>94</v>
      </c>
      <c r="I1766" s="183" t="s">
        <v>3979</v>
      </c>
      <c r="J1766" s="183" t="s">
        <v>12048</v>
      </c>
      <c r="K1766">
        <v>0</v>
      </c>
      <c r="L1766">
        <v>94</v>
      </c>
    </row>
    <row r="1767" spans="1:12">
      <c r="A1767" s="183" t="s">
        <v>4062</v>
      </c>
      <c r="B1767" s="183" t="s">
        <v>3978</v>
      </c>
      <c r="C1767">
        <v>8800269001105</v>
      </c>
      <c r="D1767">
        <v>19</v>
      </c>
      <c r="E1767">
        <v>0</v>
      </c>
      <c r="F1767">
        <v>0</v>
      </c>
      <c r="G1767">
        <v>0</v>
      </c>
      <c r="H1767">
        <v>19</v>
      </c>
      <c r="I1767" s="183" t="s">
        <v>3979</v>
      </c>
      <c r="J1767" s="183" t="s">
        <v>12085</v>
      </c>
      <c r="K1767">
        <v>0</v>
      </c>
      <c r="L1767">
        <v>19</v>
      </c>
    </row>
    <row r="1768" spans="1:12">
      <c r="A1768" s="183" t="s">
        <v>4004</v>
      </c>
      <c r="B1768" s="183" t="s">
        <v>3978</v>
      </c>
      <c r="C1768">
        <v>8800269001242</v>
      </c>
      <c r="D1768">
        <v>68</v>
      </c>
      <c r="E1768">
        <v>0</v>
      </c>
      <c r="F1768">
        <v>0</v>
      </c>
      <c r="G1768">
        <v>0</v>
      </c>
      <c r="H1768">
        <v>68</v>
      </c>
      <c r="I1768" s="183" t="s">
        <v>3979</v>
      </c>
      <c r="J1768" s="183" t="s">
        <v>12094</v>
      </c>
      <c r="K1768">
        <v>0</v>
      </c>
      <c r="L1768">
        <v>68</v>
      </c>
    </row>
    <row r="1769" spans="1:12">
      <c r="A1769" s="183" t="s">
        <v>4215</v>
      </c>
      <c r="B1769" s="183" t="s">
        <v>3978</v>
      </c>
      <c r="C1769">
        <v>8800269001464</v>
      </c>
      <c r="D1769">
        <v>92</v>
      </c>
      <c r="E1769">
        <v>0</v>
      </c>
      <c r="F1769">
        <v>0</v>
      </c>
      <c r="G1769">
        <v>0</v>
      </c>
      <c r="H1769">
        <v>92</v>
      </c>
      <c r="I1769" s="183" t="s">
        <v>3979</v>
      </c>
      <c r="J1769" s="183" t="s">
        <v>12081</v>
      </c>
      <c r="K1769">
        <v>0</v>
      </c>
      <c r="L1769">
        <v>92</v>
      </c>
    </row>
    <row r="1770" spans="1:12">
      <c r="A1770" s="183" t="s">
        <v>4086</v>
      </c>
      <c r="B1770" s="183" t="s">
        <v>3978</v>
      </c>
      <c r="C1770">
        <v>8800269001600</v>
      </c>
      <c r="D1770">
        <v>23</v>
      </c>
      <c r="E1770">
        <v>0</v>
      </c>
      <c r="F1770">
        <v>0</v>
      </c>
      <c r="G1770">
        <v>0</v>
      </c>
      <c r="H1770">
        <v>23</v>
      </c>
      <c r="I1770" s="183" t="s">
        <v>3979</v>
      </c>
      <c r="J1770" s="183" t="s">
        <v>12087</v>
      </c>
      <c r="K1770">
        <v>0</v>
      </c>
      <c r="L1770">
        <v>23</v>
      </c>
    </row>
    <row r="1771" spans="1:12">
      <c r="A1771" s="183" t="s">
        <v>4163</v>
      </c>
      <c r="B1771" s="183" t="s">
        <v>3978</v>
      </c>
      <c r="C1771">
        <v>8800269001655</v>
      </c>
      <c r="D1771">
        <v>11</v>
      </c>
      <c r="E1771">
        <v>0</v>
      </c>
      <c r="F1771">
        <v>0</v>
      </c>
      <c r="G1771">
        <v>0</v>
      </c>
      <c r="H1771">
        <v>11</v>
      </c>
      <c r="I1771" s="183" t="s">
        <v>3979</v>
      </c>
      <c r="J1771" s="183" t="s">
        <v>12094</v>
      </c>
      <c r="K1771">
        <v>0</v>
      </c>
      <c r="L1771">
        <v>11</v>
      </c>
    </row>
    <row r="1772" spans="1:12">
      <c r="A1772" s="183" t="s">
        <v>4041</v>
      </c>
      <c r="B1772" s="183" t="s">
        <v>3978</v>
      </c>
      <c r="C1772">
        <v>8800269001945</v>
      </c>
      <c r="D1772">
        <v>21</v>
      </c>
      <c r="E1772">
        <v>0</v>
      </c>
      <c r="F1772">
        <v>0</v>
      </c>
      <c r="G1772">
        <v>0</v>
      </c>
      <c r="H1772">
        <v>21</v>
      </c>
      <c r="I1772" s="183" t="s">
        <v>3979</v>
      </c>
      <c r="J1772" s="183" t="s">
        <v>12063</v>
      </c>
      <c r="K1772">
        <v>0</v>
      </c>
      <c r="L1772">
        <v>21</v>
      </c>
    </row>
    <row r="1773" spans="1:12">
      <c r="A1773" s="183" t="s">
        <v>3154</v>
      </c>
      <c r="B1773" s="183" t="s">
        <v>1368</v>
      </c>
      <c r="C1773">
        <v>65100219</v>
      </c>
      <c r="D1773">
        <v>16</v>
      </c>
      <c r="E1773">
        <v>0</v>
      </c>
      <c r="F1773">
        <v>0</v>
      </c>
      <c r="G1773">
        <v>0</v>
      </c>
      <c r="H1773">
        <v>16</v>
      </c>
      <c r="I1773" s="183" t="s">
        <v>1369</v>
      </c>
      <c r="J1773" s="183" t="s">
        <v>12058</v>
      </c>
      <c r="K1773">
        <v>0</v>
      </c>
      <c r="L1773">
        <v>16</v>
      </c>
    </row>
    <row r="1774" spans="1:12">
      <c r="A1774" s="183" t="s">
        <v>2567</v>
      </c>
      <c r="B1774" s="183" t="s">
        <v>1710</v>
      </c>
      <c r="C1774">
        <v>65100220</v>
      </c>
      <c r="D1774">
        <v>14</v>
      </c>
      <c r="E1774">
        <v>0</v>
      </c>
      <c r="F1774">
        <v>0</v>
      </c>
      <c r="G1774">
        <v>0</v>
      </c>
      <c r="H1774">
        <v>14</v>
      </c>
      <c r="I1774" s="183" t="s">
        <v>1369</v>
      </c>
      <c r="J1774" s="183" t="s">
        <v>12060</v>
      </c>
      <c r="K1774">
        <v>0</v>
      </c>
      <c r="L1774">
        <v>14</v>
      </c>
    </row>
    <row r="1775" spans="1:12">
      <c r="A1775" s="183" t="s">
        <v>1560</v>
      </c>
      <c r="B1775" s="183" t="s">
        <v>1561</v>
      </c>
      <c r="C1775">
        <v>65100228</v>
      </c>
      <c r="D1775">
        <v>18</v>
      </c>
      <c r="E1775">
        <v>0</v>
      </c>
      <c r="F1775">
        <v>0</v>
      </c>
      <c r="G1775">
        <v>0</v>
      </c>
      <c r="H1775">
        <v>18</v>
      </c>
      <c r="I1775" s="183" t="s">
        <v>1369</v>
      </c>
      <c r="J1775" s="183" t="s">
        <v>12056</v>
      </c>
      <c r="K1775">
        <v>0</v>
      </c>
      <c r="L1775">
        <v>18</v>
      </c>
    </row>
    <row r="1776" spans="1:12">
      <c r="A1776" s="183" t="s">
        <v>1572</v>
      </c>
      <c r="B1776" s="183" t="s">
        <v>1573</v>
      </c>
      <c r="C1776" t="s">
        <v>12096</v>
      </c>
      <c r="D1776">
        <v>700</v>
      </c>
      <c r="E1776">
        <v>0</v>
      </c>
      <c r="F1776">
        <v>570</v>
      </c>
      <c r="G1776">
        <v>0</v>
      </c>
      <c r="H1776" s="501">
        <v>1270</v>
      </c>
      <c r="I1776" s="183" t="s">
        <v>1574</v>
      </c>
      <c r="J1776" s="183" t="s">
        <v>12060</v>
      </c>
      <c r="K1776">
        <v>0</v>
      </c>
      <c r="L1776">
        <v>700</v>
      </c>
    </row>
    <row r="1777" spans="1:12">
      <c r="A1777" s="183" t="s">
        <v>4878</v>
      </c>
      <c r="B1777" s="183" t="s">
        <v>4718</v>
      </c>
      <c r="C1777">
        <v>8800308225752</v>
      </c>
      <c r="D1777">
        <v>134</v>
      </c>
      <c r="E1777">
        <v>0</v>
      </c>
      <c r="F1777">
        <v>0</v>
      </c>
      <c r="G1777">
        <v>0</v>
      </c>
      <c r="H1777">
        <v>134</v>
      </c>
      <c r="I1777" s="183" t="s">
        <v>4719</v>
      </c>
      <c r="J1777" s="183" t="s">
        <v>12093</v>
      </c>
      <c r="K1777">
        <v>0</v>
      </c>
      <c r="L1777">
        <v>134</v>
      </c>
    </row>
    <row r="1778" spans="1:12">
      <c r="A1778" s="183" t="s">
        <v>4879</v>
      </c>
      <c r="B1778" s="183" t="s">
        <v>4718</v>
      </c>
      <c r="C1778">
        <v>8800308225769</v>
      </c>
      <c r="D1778">
        <v>175</v>
      </c>
      <c r="E1778">
        <v>0</v>
      </c>
      <c r="F1778">
        <v>0</v>
      </c>
      <c r="G1778">
        <v>0</v>
      </c>
      <c r="H1778">
        <v>175</v>
      </c>
      <c r="I1778" s="183" t="s">
        <v>4719</v>
      </c>
      <c r="J1778" s="183" t="s">
        <v>12053</v>
      </c>
      <c r="K1778">
        <v>0</v>
      </c>
      <c r="L1778">
        <v>175</v>
      </c>
    </row>
    <row r="1779" spans="1:12">
      <c r="A1779" s="183" t="s">
        <v>4723</v>
      </c>
      <c r="B1779" s="183" t="s">
        <v>4718</v>
      </c>
      <c r="C1779">
        <v>8800308225899</v>
      </c>
      <c r="D1779">
        <v>202</v>
      </c>
      <c r="E1779">
        <v>0</v>
      </c>
      <c r="F1779">
        <v>0</v>
      </c>
      <c r="G1779">
        <v>0</v>
      </c>
      <c r="H1779">
        <v>202</v>
      </c>
      <c r="I1779" s="183" t="s">
        <v>4719</v>
      </c>
      <c r="J1779" s="183" t="s">
        <v>12059</v>
      </c>
      <c r="K1779">
        <v>0</v>
      </c>
      <c r="L1779">
        <v>202</v>
      </c>
    </row>
    <row r="1780" spans="1:12">
      <c r="A1780" s="183" t="s">
        <v>5773</v>
      </c>
      <c r="B1780" s="183" t="s">
        <v>4718</v>
      </c>
      <c r="C1780">
        <v>8800308225967</v>
      </c>
      <c r="D1780">
        <v>180</v>
      </c>
      <c r="E1780">
        <v>0</v>
      </c>
      <c r="F1780">
        <v>0</v>
      </c>
      <c r="G1780">
        <v>0</v>
      </c>
      <c r="H1780">
        <v>180</v>
      </c>
      <c r="I1780" s="183" t="s">
        <v>4719</v>
      </c>
      <c r="J1780" s="183" t="s">
        <v>12087</v>
      </c>
      <c r="K1780">
        <v>0</v>
      </c>
      <c r="L1780">
        <v>180</v>
      </c>
    </row>
    <row r="1781" spans="1:12">
      <c r="A1781" s="183" t="s">
        <v>4689</v>
      </c>
      <c r="B1781" s="183" t="s">
        <v>4673</v>
      </c>
      <c r="C1781">
        <v>8800308226018</v>
      </c>
      <c r="D1781">
        <v>487</v>
      </c>
      <c r="E1781">
        <v>0</v>
      </c>
      <c r="F1781">
        <v>0</v>
      </c>
      <c r="G1781">
        <v>0</v>
      </c>
      <c r="H1781">
        <v>487</v>
      </c>
      <c r="I1781" s="183" t="s">
        <v>4674</v>
      </c>
      <c r="J1781" s="183" t="s">
        <v>12095</v>
      </c>
      <c r="K1781">
        <v>0</v>
      </c>
      <c r="L1781">
        <v>487</v>
      </c>
    </row>
    <row r="1782" spans="1:12">
      <c r="A1782" s="183" t="s">
        <v>4690</v>
      </c>
      <c r="B1782" s="183" t="s">
        <v>4673</v>
      </c>
      <c r="C1782">
        <v>8800308226025</v>
      </c>
      <c r="D1782">
        <v>171</v>
      </c>
      <c r="E1782">
        <v>0</v>
      </c>
      <c r="F1782">
        <v>0</v>
      </c>
      <c r="G1782">
        <v>0</v>
      </c>
      <c r="H1782">
        <v>171</v>
      </c>
      <c r="I1782" s="183" t="s">
        <v>4674</v>
      </c>
      <c r="J1782" s="183" t="s">
        <v>12087</v>
      </c>
      <c r="K1782">
        <v>0</v>
      </c>
      <c r="L1782">
        <v>171</v>
      </c>
    </row>
    <row r="1783" spans="1:12">
      <c r="A1783" s="183" t="s">
        <v>4691</v>
      </c>
      <c r="B1783" s="183" t="s">
        <v>4673</v>
      </c>
      <c r="C1783">
        <v>8800308226032</v>
      </c>
      <c r="D1783">
        <v>122</v>
      </c>
      <c r="E1783">
        <v>0</v>
      </c>
      <c r="F1783">
        <v>0</v>
      </c>
      <c r="G1783">
        <v>0</v>
      </c>
      <c r="H1783">
        <v>122</v>
      </c>
      <c r="I1783" s="183" t="s">
        <v>4674</v>
      </c>
      <c r="J1783" s="183" t="s">
        <v>12095</v>
      </c>
      <c r="K1783">
        <v>0</v>
      </c>
      <c r="L1783">
        <v>122</v>
      </c>
    </row>
    <row r="1784" spans="1:12">
      <c r="A1784" s="183" t="s">
        <v>4692</v>
      </c>
      <c r="B1784" s="183" t="s">
        <v>4673</v>
      </c>
      <c r="C1784">
        <v>8800308226056</v>
      </c>
      <c r="D1784">
        <v>368</v>
      </c>
      <c r="E1784">
        <v>0</v>
      </c>
      <c r="F1784">
        <v>0</v>
      </c>
      <c r="G1784">
        <v>0</v>
      </c>
      <c r="H1784">
        <v>368</v>
      </c>
      <c r="I1784" s="183" t="s">
        <v>4674</v>
      </c>
      <c r="J1784" s="183" t="s">
        <v>12085</v>
      </c>
      <c r="K1784">
        <v>0</v>
      </c>
      <c r="L1784">
        <v>368</v>
      </c>
    </row>
    <row r="1785" spans="1:12">
      <c r="A1785" s="183" t="s">
        <v>4693</v>
      </c>
      <c r="B1785" s="183" t="s">
        <v>4673</v>
      </c>
      <c r="C1785">
        <v>8800308226063</v>
      </c>
      <c r="D1785">
        <v>342</v>
      </c>
      <c r="E1785">
        <v>0</v>
      </c>
      <c r="F1785">
        <v>0</v>
      </c>
      <c r="G1785">
        <v>0</v>
      </c>
      <c r="H1785">
        <v>342</v>
      </c>
      <c r="I1785" s="183" t="s">
        <v>4674</v>
      </c>
      <c r="J1785" s="183" t="s">
        <v>12093</v>
      </c>
      <c r="K1785">
        <v>0</v>
      </c>
      <c r="L1785">
        <v>342</v>
      </c>
    </row>
    <row r="1786" spans="1:12">
      <c r="A1786" s="183" t="s">
        <v>4694</v>
      </c>
      <c r="B1786" s="183" t="s">
        <v>4673</v>
      </c>
      <c r="C1786">
        <v>8800308226100</v>
      </c>
      <c r="D1786">
        <v>102</v>
      </c>
      <c r="E1786">
        <v>0</v>
      </c>
      <c r="F1786">
        <v>0</v>
      </c>
      <c r="G1786">
        <v>0</v>
      </c>
      <c r="H1786">
        <v>102</v>
      </c>
      <c r="I1786" s="183" t="s">
        <v>4674</v>
      </c>
      <c r="J1786" s="183" t="s">
        <v>12066</v>
      </c>
      <c r="K1786">
        <v>0</v>
      </c>
      <c r="L1786">
        <v>102</v>
      </c>
    </row>
    <row r="1787" spans="1:12">
      <c r="A1787" s="183" t="s">
        <v>4888</v>
      </c>
      <c r="B1787" s="183" t="s">
        <v>4685</v>
      </c>
      <c r="C1787">
        <v>8800308226247</v>
      </c>
      <c r="D1787">
        <v>346</v>
      </c>
      <c r="E1787">
        <v>0</v>
      </c>
      <c r="F1787">
        <v>0</v>
      </c>
      <c r="G1787">
        <v>0</v>
      </c>
      <c r="H1787">
        <v>346</v>
      </c>
      <c r="I1787" s="183" t="s">
        <v>4686</v>
      </c>
      <c r="J1787" s="183" t="s">
        <v>12053</v>
      </c>
      <c r="K1787">
        <v>0</v>
      </c>
      <c r="L1787">
        <v>346</v>
      </c>
    </row>
    <row r="1788" spans="1:12">
      <c r="A1788" s="183" t="s">
        <v>4724</v>
      </c>
      <c r="B1788" s="183" t="s">
        <v>4685</v>
      </c>
      <c r="C1788">
        <v>8800308226339</v>
      </c>
      <c r="D1788">
        <v>139</v>
      </c>
      <c r="E1788">
        <v>0</v>
      </c>
      <c r="F1788">
        <v>0</v>
      </c>
      <c r="G1788">
        <v>0</v>
      </c>
      <c r="H1788">
        <v>139</v>
      </c>
      <c r="I1788" s="183" t="s">
        <v>4686</v>
      </c>
      <c r="J1788" s="183" t="s">
        <v>12092</v>
      </c>
      <c r="K1788">
        <v>0</v>
      </c>
      <c r="L1788">
        <v>139</v>
      </c>
    </row>
    <row r="1789" spans="1:12">
      <c r="A1789" s="183" t="s">
        <v>4737</v>
      </c>
      <c r="B1789" s="183" t="s">
        <v>4685</v>
      </c>
      <c r="C1789">
        <v>8800308226407</v>
      </c>
      <c r="D1789">
        <v>155</v>
      </c>
      <c r="E1789">
        <v>0</v>
      </c>
      <c r="F1789">
        <v>0</v>
      </c>
      <c r="G1789">
        <v>0</v>
      </c>
      <c r="H1789">
        <v>155</v>
      </c>
      <c r="I1789" s="183" t="s">
        <v>4686</v>
      </c>
      <c r="J1789" s="183" t="s">
        <v>12092</v>
      </c>
      <c r="K1789">
        <v>0</v>
      </c>
      <c r="L1789">
        <v>155</v>
      </c>
    </row>
    <row r="1790" spans="1:12">
      <c r="A1790" s="183" t="s">
        <v>4738</v>
      </c>
      <c r="B1790" s="183" t="s">
        <v>4685</v>
      </c>
      <c r="C1790">
        <v>8800308226438</v>
      </c>
      <c r="D1790">
        <v>140</v>
      </c>
      <c r="E1790">
        <v>0</v>
      </c>
      <c r="F1790">
        <v>0</v>
      </c>
      <c r="G1790">
        <v>0</v>
      </c>
      <c r="H1790">
        <v>140</v>
      </c>
      <c r="I1790" s="183" t="s">
        <v>4686</v>
      </c>
      <c r="J1790" s="183" t="s">
        <v>12091</v>
      </c>
      <c r="K1790">
        <v>0</v>
      </c>
      <c r="L1790">
        <v>140</v>
      </c>
    </row>
    <row r="1791" spans="1:12">
      <c r="A1791" s="183" t="s">
        <v>4889</v>
      </c>
      <c r="B1791" s="183" t="s">
        <v>4685</v>
      </c>
      <c r="C1791">
        <v>8800308226445</v>
      </c>
      <c r="D1791">
        <v>117</v>
      </c>
      <c r="E1791">
        <v>0</v>
      </c>
      <c r="F1791">
        <v>0</v>
      </c>
      <c r="G1791">
        <v>0</v>
      </c>
      <c r="H1791">
        <v>117</v>
      </c>
      <c r="I1791" s="183" t="s">
        <v>4686</v>
      </c>
      <c r="J1791" s="183" t="s">
        <v>12095</v>
      </c>
      <c r="K1791">
        <v>0</v>
      </c>
      <c r="L1791">
        <v>117</v>
      </c>
    </row>
    <row r="1792" spans="1:12">
      <c r="A1792" s="183" t="s">
        <v>5037</v>
      </c>
      <c r="B1792" s="183" t="s">
        <v>4676</v>
      </c>
      <c r="C1792">
        <v>8800308226513</v>
      </c>
      <c r="D1792">
        <v>185</v>
      </c>
      <c r="E1792">
        <v>0</v>
      </c>
      <c r="F1792">
        <v>0</v>
      </c>
      <c r="G1792">
        <v>0</v>
      </c>
      <c r="H1792">
        <v>185</v>
      </c>
      <c r="I1792" s="183" t="s">
        <v>4677</v>
      </c>
      <c r="J1792" s="183" t="s">
        <v>12055</v>
      </c>
      <c r="K1792">
        <v>0</v>
      </c>
      <c r="L1792">
        <v>185</v>
      </c>
    </row>
    <row r="1793" spans="1:12">
      <c r="A1793" s="183" t="s">
        <v>4695</v>
      </c>
      <c r="B1793" s="183" t="s">
        <v>4676</v>
      </c>
      <c r="C1793">
        <v>8800308226544</v>
      </c>
      <c r="D1793">
        <v>216</v>
      </c>
      <c r="E1793">
        <v>0</v>
      </c>
      <c r="F1793">
        <v>0</v>
      </c>
      <c r="G1793">
        <v>0</v>
      </c>
      <c r="H1793">
        <v>216</v>
      </c>
      <c r="I1793" s="183" t="s">
        <v>4677</v>
      </c>
      <c r="J1793" s="183" t="s">
        <v>12093</v>
      </c>
      <c r="K1793">
        <v>0</v>
      </c>
      <c r="L1793">
        <v>216</v>
      </c>
    </row>
    <row r="1794" spans="1:12">
      <c r="A1794" s="183" t="s">
        <v>4696</v>
      </c>
      <c r="B1794" s="183" t="s">
        <v>4676</v>
      </c>
      <c r="C1794">
        <v>8800308226629</v>
      </c>
      <c r="D1794">
        <v>344</v>
      </c>
      <c r="E1794">
        <v>0</v>
      </c>
      <c r="F1794">
        <v>0</v>
      </c>
      <c r="G1794">
        <v>0</v>
      </c>
      <c r="H1794">
        <v>344</v>
      </c>
      <c r="I1794" s="183" t="s">
        <v>4677</v>
      </c>
      <c r="J1794" s="183" t="s">
        <v>12095</v>
      </c>
      <c r="K1794">
        <v>0</v>
      </c>
      <c r="L1794">
        <v>344</v>
      </c>
    </row>
    <row r="1795" spans="1:12">
      <c r="A1795" s="183" t="s">
        <v>4697</v>
      </c>
      <c r="B1795" s="183" t="s">
        <v>4676</v>
      </c>
      <c r="C1795">
        <v>8800308226667</v>
      </c>
      <c r="D1795">
        <v>183</v>
      </c>
      <c r="E1795">
        <v>0</v>
      </c>
      <c r="F1795">
        <v>0</v>
      </c>
      <c r="G1795">
        <v>0</v>
      </c>
      <c r="H1795">
        <v>183</v>
      </c>
      <c r="I1795" s="183" t="s">
        <v>4677</v>
      </c>
      <c r="J1795" s="183" t="s">
        <v>12087</v>
      </c>
      <c r="K1795">
        <v>0</v>
      </c>
      <c r="L1795">
        <v>183</v>
      </c>
    </row>
    <row r="1796" spans="1:12">
      <c r="A1796" s="183" t="s">
        <v>4895</v>
      </c>
      <c r="B1796" s="183" t="s">
        <v>4676</v>
      </c>
      <c r="C1796">
        <v>8800308226728</v>
      </c>
      <c r="D1796">
        <v>520</v>
      </c>
      <c r="E1796">
        <v>0</v>
      </c>
      <c r="F1796">
        <v>0</v>
      </c>
      <c r="G1796">
        <v>0</v>
      </c>
      <c r="H1796">
        <v>520</v>
      </c>
      <c r="I1796" s="183" t="s">
        <v>4677</v>
      </c>
      <c r="J1796" s="183" t="s">
        <v>12087</v>
      </c>
      <c r="K1796">
        <v>0</v>
      </c>
      <c r="L1796">
        <v>520</v>
      </c>
    </row>
    <row r="1797" spans="1:12">
      <c r="A1797" s="183" t="s">
        <v>4629</v>
      </c>
      <c r="B1797" s="183" t="s">
        <v>4630</v>
      </c>
      <c r="C1797">
        <v>64002208</v>
      </c>
      <c r="D1797">
        <v>834</v>
      </c>
      <c r="E1797">
        <v>0</v>
      </c>
      <c r="F1797">
        <v>0</v>
      </c>
      <c r="G1797">
        <v>0</v>
      </c>
      <c r="H1797">
        <v>834</v>
      </c>
      <c r="I1797" s="183" t="s">
        <v>984</v>
      </c>
      <c r="J1797" s="183" t="s">
        <v>12091</v>
      </c>
      <c r="K1797">
        <v>0</v>
      </c>
      <c r="L1797">
        <v>834</v>
      </c>
    </row>
    <row r="1798" spans="1:12">
      <c r="A1798" s="183" t="s">
        <v>3498</v>
      </c>
      <c r="B1798" s="183" t="s">
        <v>3499</v>
      </c>
      <c r="C1798">
        <v>64002230</v>
      </c>
      <c r="D1798">
        <v>577</v>
      </c>
      <c r="E1798">
        <v>0</v>
      </c>
      <c r="F1798">
        <v>0</v>
      </c>
      <c r="G1798">
        <v>0</v>
      </c>
      <c r="H1798">
        <v>577</v>
      </c>
      <c r="I1798" s="183" t="s">
        <v>984</v>
      </c>
      <c r="J1798" s="183" t="s">
        <v>12087</v>
      </c>
      <c r="K1798">
        <v>0</v>
      </c>
      <c r="L1798">
        <v>577</v>
      </c>
    </row>
    <row r="1799" spans="1:12">
      <c r="A1799" s="183" t="s">
        <v>157</v>
      </c>
      <c r="B1799" s="183" t="s">
        <v>985</v>
      </c>
      <c r="C1799">
        <v>64002240</v>
      </c>
      <c r="D1799">
        <v>348</v>
      </c>
      <c r="E1799">
        <v>0</v>
      </c>
      <c r="F1799">
        <v>0</v>
      </c>
      <c r="G1799">
        <v>0</v>
      </c>
      <c r="H1799">
        <v>348</v>
      </c>
      <c r="I1799" s="183" t="s">
        <v>984</v>
      </c>
      <c r="J1799" s="183" t="s">
        <v>12095</v>
      </c>
      <c r="K1799">
        <v>0</v>
      </c>
      <c r="L1799">
        <v>348</v>
      </c>
    </row>
    <row r="1800" spans="1:12">
      <c r="A1800" s="183" t="s">
        <v>2559</v>
      </c>
      <c r="B1800" s="183" t="s">
        <v>1497</v>
      </c>
      <c r="C1800">
        <v>61006210</v>
      </c>
      <c r="D1800">
        <v>367</v>
      </c>
      <c r="E1800">
        <v>0</v>
      </c>
      <c r="F1800">
        <v>0</v>
      </c>
      <c r="G1800">
        <v>0</v>
      </c>
      <c r="H1800">
        <v>367</v>
      </c>
      <c r="I1800" s="183" t="s">
        <v>1083</v>
      </c>
      <c r="J1800" s="183" t="s">
        <v>12056</v>
      </c>
      <c r="K1800">
        <v>0</v>
      </c>
      <c r="L1800">
        <v>367</v>
      </c>
    </row>
    <row r="1801" spans="1:12">
      <c r="A1801" s="183" t="s">
        <v>166</v>
      </c>
      <c r="B1801" s="183" t="s">
        <v>1497</v>
      </c>
      <c r="C1801">
        <v>61006211</v>
      </c>
      <c r="D1801">
        <v>261</v>
      </c>
      <c r="E1801">
        <v>0</v>
      </c>
      <c r="F1801">
        <v>1</v>
      </c>
      <c r="G1801">
        <v>0</v>
      </c>
      <c r="H1801">
        <v>262</v>
      </c>
      <c r="I1801" s="183" t="s">
        <v>1083</v>
      </c>
      <c r="J1801" s="183" t="s">
        <v>12067</v>
      </c>
      <c r="K1801">
        <v>0</v>
      </c>
      <c r="L1801">
        <v>261</v>
      </c>
    </row>
    <row r="1802" spans="1:12">
      <c r="A1802" s="183" t="s">
        <v>3099</v>
      </c>
      <c r="B1802" s="183" t="s">
        <v>1395</v>
      </c>
      <c r="C1802">
        <v>61006217</v>
      </c>
      <c r="D1802">
        <v>222</v>
      </c>
      <c r="E1802">
        <v>0</v>
      </c>
      <c r="F1802">
        <v>0</v>
      </c>
      <c r="G1802">
        <v>0</v>
      </c>
      <c r="H1802">
        <v>222</v>
      </c>
      <c r="I1802" s="183" t="s">
        <v>1083</v>
      </c>
      <c r="J1802" s="183" t="s">
        <v>12056</v>
      </c>
      <c r="K1802">
        <v>0</v>
      </c>
      <c r="L1802">
        <v>222</v>
      </c>
    </row>
    <row r="1803" spans="1:12">
      <c r="A1803" s="183" t="s">
        <v>4932</v>
      </c>
      <c r="B1803" s="183" t="s">
        <v>1820</v>
      </c>
      <c r="C1803">
        <v>61006238</v>
      </c>
      <c r="D1803">
        <v>263</v>
      </c>
      <c r="E1803">
        <v>0</v>
      </c>
      <c r="F1803">
        <v>0</v>
      </c>
      <c r="G1803">
        <v>0</v>
      </c>
      <c r="H1803">
        <v>263</v>
      </c>
      <c r="I1803" s="183" t="s">
        <v>1083</v>
      </c>
      <c r="J1803" s="183" t="s">
        <v>12060</v>
      </c>
      <c r="K1803">
        <v>0</v>
      </c>
      <c r="L1803">
        <v>263</v>
      </c>
    </row>
    <row r="1804" spans="1:12">
      <c r="A1804" s="183" t="s">
        <v>181</v>
      </c>
      <c r="B1804" s="183" t="s">
        <v>2072</v>
      </c>
      <c r="C1804">
        <v>61006240</v>
      </c>
      <c r="D1804">
        <v>485</v>
      </c>
      <c r="E1804">
        <v>0</v>
      </c>
      <c r="F1804">
        <v>1</v>
      </c>
      <c r="G1804">
        <v>0</v>
      </c>
      <c r="H1804">
        <v>486</v>
      </c>
      <c r="I1804" s="183" t="s">
        <v>1083</v>
      </c>
      <c r="J1804" s="183" t="s">
        <v>12052</v>
      </c>
      <c r="K1804">
        <v>0</v>
      </c>
      <c r="L1804">
        <v>485</v>
      </c>
    </row>
    <row r="1805" spans="1:12">
      <c r="A1805" s="183" t="s">
        <v>187</v>
      </c>
      <c r="B1805" s="183" t="s">
        <v>1737</v>
      </c>
      <c r="C1805">
        <v>61005211</v>
      </c>
      <c r="D1805">
        <v>492</v>
      </c>
      <c r="E1805">
        <v>0</v>
      </c>
      <c r="F1805">
        <v>0</v>
      </c>
      <c r="G1805">
        <v>0</v>
      </c>
      <c r="H1805">
        <v>492</v>
      </c>
      <c r="I1805" s="183" t="s">
        <v>1243</v>
      </c>
      <c r="J1805" s="183" t="s">
        <v>12054</v>
      </c>
      <c r="K1805">
        <v>0</v>
      </c>
      <c r="L1805">
        <v>492</v>
      </c>
    </row>
    <row r="1806" spans="1:12">
      <c r="A1806" s="183" t="s">
        <v>189</v>
      </c>
      <c r="B1806" s="183" t="s">
        <v>1547</v>
      </c>
      <c r="C1806">
        <v>61005213</v>
      </c>
      <c r="D1806">
        <v>368</v>
      </c>
      <c r="E1806">
        <v>0</v>
      </c>
      <c r="F1806">
        <v>0</v>
      </c>
      <c r="G1806">
        <v>0</v>
      </c>
      <c r="H1806">
        <v>368</v>
      </c>
      <c r="I1806" s="183" t="s">
        <v>1243</v>
      </c>
      <c r="J1806" s="183" t="s">
        <v>12053</v>
      </c>
      <c r="K1806">
        <v>0</v>
      </c>
      <c r="L1806">
        <v>368</v>
      </c>
    </row>
    <row r="1807" spans="1:12">
      <c r="A1807" s="183" t="s">
        <v>197</v>
      </c>
      <c r="B1807" s="183" t="s">
        <v>1339</v>
      </c>
      <c r="C1807">
        <v>61005223</v>
      </c>
      <c r="D1807">
        <v>237</v>
      </c>
      <c r="E1807">
        <v>0</v>
      </c>
      <c r="F1807">
        <v>0</v>
      </c>
      <c r="G1807">
        <v>0</v>
      </c>
      <c r="H1807">
        <v>237</v>
      </c>
      <c r="I1807" s="183" t="s">
        <v>1243</v>
      </c>
      <c r="J1807" s="183" t="s">
        <v>12093</v>
      </c>
      <c r="K1807">
        <v>0</v>
      </c>
      <c r="L1807">
        <v>237</v>
      </c>
    </row>
    <row r="1808" spans="1:12">
      <c r="A1808" s="183" t="s">
        <v>200</v>
      </c>
      <c r="B1808" s="183" t="s">
        <v>1956</v>
      </c>
      <c r="C1808">
        <v>61005232</v>
      </c>
      <c r="D1808">
        <v>82</v>
      </c>
      <c r="E1808">
        <v>0</v>
      </c>
      <c r="F1808">
        <v>0</v>
      </c>
      <c r="G1808">
        <v>0</v>
      </c>
      <c r="H1808">
        <v>82</v>
      </c>
      <c r="I1808" s="183" t="s">
        <v>1243</v>
      </c>
      <c r="J1808" s="183" t="s">
        <v>12066</v>
      </c>
      <c r="K1808">
        <v>0</v>
      </c>
      <c r="L1808">
        <v>82</v>
      </c>
    </row>
    <row r="1809" spans="1:12">
      <c r="A1809" s="183" t="s">
        <v>201</v>
      </c>
      <c r="B1809" s="183" t="s">
        <v>1881</v>
      </c>
      <c r="C1809">
        <v>61005236</v>
      </c>
      <c r="D1809">
        <v>541</v>
      </c>
      <c r="E1809">
        <v>0</v>
      </c>
      <c r="F1809">
        <v>0</v>
      </c>
      <c r="G1809">
        <v>0</v>
      </c>
      <c r="H1809">
        <v>541</v>
      </c>
      <c r="I1809" s="183" t="s">
        <v>1243</v>
      </c>
      <c r="J1809" s="183" t="s">
        <v>12060</v>
      </c>
      <c r="K1809">
        <v>0</v>
      </c>
      <c r="L1809">
        <v>541</v>
      </c>
    </row>
    <row r="1810" spans="1:12">
      <c r="A1810" s="183" t="s">
        <v>5714</v>
      </c>
      <c r="B1810" s="183" t="s">
        <v>5715</v>
      </c>
      <c r="C1810">
        <v>61007217</v>
      </c>
      <c r="D1810">
        <v>365</v>
      </c>
      <c r="E1810">
        <v>0</v>
      </c>
      <c r="F1810">
        <v>0</v>
      </c>
      <c r="G1810">
        <v>0</v>
      </c>
      <c r="H1810">
        <v>365</v>
      </c>
      <c r="I1810" s="183" t="s">
        <v>1430</v>
      </c>
      <c r="J1810" s="183" t="s">
        <v>12050</v>
      </c>
      <c r="K1810">
        <v>0</v>
      </c>
      <c r="L1810">
        <v>365</v>
      </c>
    </row>
    <row r="1811" spans="1:12">
      <c r="A1811" s="183" t="s">
        <v>4937</v>
      </c>
      <c r="B1811" s="183" t="s">
        <v>4938</v>
      </c>
      <c r="C1811">
        <v>61007230</v>
      </c>
      <c r="D1811">
        <v>476</v>
      </c>
      <c r="E1811">
        <v>0</v>
      </c>
      <c r="F1811">
        <v>0</v>
      </c>
      <c r="G1811">
        <v>0</v>
      </c>
      <c r="H1811">
        <v>476</v>
      </c>
      <c r="I1811" s="183" t="s">
        <v>1430</v>
      </c>
      <c r="J1811" s="183" t="s">
        <v>12054</v>
      </c>
      <c r="K1811">
        <v>0</v>
      </c>
      <c r="L1811">
        <v>476</v>
      </c>
    </row>
    <row r="1812" spans="1:12">
      <c r="A1812" s="183" t="s">
        <v>2233</v>
      </c>
      <c r="B1812" s="183" t="s">
        <v>2234</v>
      </c>
      <c r="C1812">
        <v>61008200</v>
      </c>
      <c r="D1812">
        <v>480</v>
      </c>
      <c r="E1812">
        <v>0</v>
      </c>
      <c r="F1812">
        <v>0</v>
      </c>
      <c r="G1812">
        <v>0</v>
      </c>
      <c r="H1812">
        <v>480</v>
      </c>
      <c r="I1812" s="183" t="s">
        <v>1267</v>
      </c>
      <c r="J1812" s="183" t="s">
        <v>12052</v>
      </c>
      <c r="K1812">
        <v>0</v>
      </c>
      <c r="L1812">
        <v>480</v>
      </c>
    </row>
    <row r="1813" spans="1:12">
      <c r="A1813" s="183" t="s">
        <v>2704</v>
      </c>
      <c r="B1813" s="183" t="s">
        <v>2705</v>
      </c>
      <c r="C1813">
        <v>61008209</v>
      </c>
      <c r="D1813">
        <v>419</v>
      </c>
      <c r="E1813">
        <v>0</v>
      </c>
      <c r="F1813">
        <v>0</v>
      </c>
      <c r="G1813">
        <v>0</v>
      </c>
      <c r="H1813">
        <v>419</v>
      </c>
      <c r="I1813" s="183" t="s">
        <v>1267</v>
      </c>
      <c r="J1813" s="183" t="s">
        <v>12052</v>
      </c>
      <c r="K1813">
        <v>0</v>
      </c>
      <c r="L1813">
        <v>419</v>
      </c>
    </row>
    <row r="1814" spans="1:12">
      <c r="A1814" s="183" t="s">
        <v>2238</v>
      </c>
      <c r="B1814" s="183" t="s">
        <v>2239</v>
      </c>
      <c r="C1814">
        <v>61008232</v>
      </c>
      <c r="D1814">
        <v>359</v>
      </c>
      <c r="E1814">
        <v>0</v>
      </c>
      <c r="F1814">
        <v>0</v>
      </c>
      <c r="G1814">
        <v>0</v>
      </c>
      <c r="H1814">
        <v>359</v>
      </c>
      <c r="I1814" s="183" t="s">
        <v>1267</v>
      </c>
      <c r="J1814" s="183" t="s">
        <v>12060</v>
      </c>
      <c r="K1814">
        <v>0</v>
      </c>
      <c r="L1814">
        <v>359</v>
      </c>
    </row>
    <row r="1815" spans="1:12">
      <c r="A1815" s="183" t="s">
        <v>853</v>
      </c>
      <c r="B1815" s="183" t="s">
        <v>1287</v>
      </c>
      <c r="C1815">
        <v>64004203</v>
      </c>
      <c r="D1815">
        <v>238</v>
      </c>
      <c r="E1815">
        <v>0</v>
      </c>
      <c r="F1815">
        <v>0</v>
      </c>
      <c r="G1815">
        <v>0</v>
      </c>
      <c r="H1815">
        <v>238</v>
      </c>
      <c r="I1815" s="183" t="s">
        <v>1051</v>
      </c>
      <c r="J1815" s="183" t="s">
        <v>12081</v>
      </c>
      <c r="K1815">
        <v>0</v>
      </c>
      <c r="L1815">
        <v>238</v>
      </c>
    </row>
    <row r="1816" spans="1:12">
      <c r="A1816" s="183" t="s">
        <v>4951</v>
      </c>
      <c r="B1816" s="183" t="s">
        <v>4952</v>
      </c>
      <c r="C1816">
        <v>64004210</v>
      </c>
      <c r="D1816">
        <v>342</v>
      </c>
      <c r="E1816">
        <v>0</v>
      </c>
      <c r="F1816">
        <v>0</v>
      </c>
      <c r="G1816">
        <v>0</v>
      </c>
      <c r="H1816">
        <v>342</v>
      </c>
      <c r="I1816" s="183" t="s">
        <v>1051</v>
      </c>
      <c r="J1816" s="183" t="s">
        <v>12095</v>
      </c>
      <c r="K1816">
        <v>0</v>
      </c>
      <c r="L1816">
        <v>342</v>
      </c>
    </row>
    <row r="1817" spans="1:12">
      <c r="A1817" s="183" t="s">
        <v>165</v>
      </c>
      <c r="B1817" s="183" t="s">
        <v>1497</v>
      </c>
      <c r="C1817">
        <v>61006209</v>
      </c>
      <c r="D1817">
        <v>518</v>
      </c>
      <c r="E1817">
        <v>0</v>
      </c>
      <c r="F1817">
        <v>0</v>
      </c>
      <c r="G1817">
        <v>0</v>
      </c>
      <c r="H1817">
        <v>518</v>
      </c>
      <c r="I1817" s="183" t="s">
        <v>1083</v>
      </c>
      <c r="J1817" s="183" t="s">
        <v>12052</v>
      </c>
      <c r="K1817">
        <v>0</v>
      </c>
      <c r="L1817">
        <v>518</v>
      </c>
    </row>
    <row r="1818" spans="1:12">
      <c r="A1818" s="183" t="s">
        <v>171</v>
      </c>
      <c r="B1818" s="183" t="s">
        <v>1395</v>
      </c>
      <c r="C1818">
        <v>61006219</v>
      </c>
      <c r="D1818">
        <v>292</v>
      </c>
      <c r="E1818">
        <v>0</v>
      </c>
      <c r="F1818">
        <v>2</v>
      </c>
      <c r="G1818">
        <v>0</v>
      </c>
      <c r="H1818">
        <v>294</v>
      </c>
      <c r="I1818" s="183" t="s">
        <v>1083</v>
      </c>
      <c r="J1818" s="183" t="s">
        <v>12067</v>
      </c>
      <c r="K1818">
        <v>0</v>
      </c>
      <c r="L1818">
        <v>292</v>
      </c>
    </row>
    <row r="1819" spans="1:12">
      <c r="A1819" s="183" t="s">
        <v>172</v>
      </c>
      <c r="B1819" s="183" t="s">
        <v>1087</v>
      </c>
      <c r="C1819">
        <v>61006221</v>
      </c>
      <c r="D1819">
        <v>402</v>
      </c>
      <c r="E1819">
        <v>0</v>
      </c>
      <c r="F1819">
        <v>3</v>
      </c>
      <c r="G1819">
        <v>0</v>
      </c>
      <c r="H1819">
        <v>405</v>
      </c>
      <c r="I1819" s="183" t="s">
        <v>1083</v>
      </c>
      <c r="J1819" s="183" t="s">
        <v>12059</v>
      </c>
      <c r="K1819">
        <v>0</v>
      </c>
      <c r="L1819">
        <v>402</v>
      </c>
    </row>
    <row r="1820" spans="1:12">
      <c r="A1820" s="183" t="s">
        <v>173</v>
      </c>
      <c r="B1820" s="183" t="s">
        <v>1087</v>
      </c>
      <c r="C1820">
        <v>61006222</v>
      </c>
      <c r="D1820">
        <v>380</v>
      </c>
      <c r="E1820">
        <v>0</v>
      </c>
      <c r="F1820">
        <v>7</v>
      </c>
      <c r="G1820">
        <v>0</v>
      </c>
      <c r="H1820">
        <v>387</v>
      </c>
      <c r="I1820" s="183" t="s">
        <v>1083</v>
      </c>
      <c r="J1820" s="183" t="s">
        <v>12059</v>
      </c>
      <c r="K1820">
        <v>0</v>
      </c>
      <c r="L1820">
        <v>380</v>
      </c>
    </row>
    <row r="1821" spans="1:12">
      <c r="A1821" s="183" t="s">
        <v>174</v>
      </c>
      <c r="B1821" s="183" t="s">
        <v>1760</v>
      </c>
      <c r="C1821">
        <v>61006224</v>
      </c>
      <c r="D1821">
        <v>273</v>
      </c>
      <c r="E1821">
        <v>0</v>
      </c>
      <c r="F1821">
        <v>0</v>
      </c>
      <c r="G1821">
        <v>0</v>
      </c>
      <c r="H1821">
        <v>273</v>
      </c>
      <c r="I1821" s="183" t="s">
        <v>1083</v>
      </c>
      <c r="J1821" s="183" t="s">
        <v>12067</v>
      </c>
      <c r="K1821">
        <v>0</v>
      </c>
      <c r="L1821">
        <v>273</v>
      </c>
    </row>
    <row r="1822" spans="1:12">
      <c r="A1822" s="183" t="s">
        <v>4866</v>
      </c>
      <c r="B1822" s="183" t="s">
        <v>1590</v>
      </c>
      <c r="C1822">
        <v>61005207</v>
      </c>
      <c r="D1822">
        <v>466</v>
      </c>
      <c r="E1822">
        <v>0</v>
      </c>
      <c r="F1822">
        <v>0</v>
      </c>
      <c r="G1822">
        <v>0</v>
      </c>
      <c r="H1822">
        <v>466</v>
      </c>
      <c r="I1822" s="183" t="s">
        <v>1243</v>
      </c>
      <c r="J1822" s="183" t="s">
        <v>12085</v>
      </c>
      <c r="K1822">
        <v>0</v>
      </c>
      <c r="L1822">
        <v>466</v>
      </c>
    </row>
    <row r="1823" spans="1:12">
      <c r="A1823" s="183" t="s">
        <v>190</v>
      </c>
      <c r="B1823" s="183" t="s">
        <v>1547</v>
      </c>
      <c r="C1823">
        <v>61005214</v>
      </c>
      <c r="D1823">
        <v>463</v>
      </c>
      <c r="E1823">
        <v>0</v>
      </c>
      <c r="F1823">
        <v>0</v>
      </c>
      <c r="G1823">
        <v>0</v>
      </c>
      <c r="H1823">
        <v>463</v>
      </c>
      <c r="I1823" s="183" t="s">
        <v>1243</v>
      </c>
      <c r="J1823" s="183" t="s">
        <v>12081</v>
      </c>
      <c r="K1823">
        <v>0</v>
      </c>
      <c r="L1823">
        <v>463</v>
      </c>
    </row>
    <row r="1824" spans="1:12">
      <c r="A1824" s="183" t="s">
        <v>192</v>
      </c>
      <c r="B1824" s="183" t="s">
        <v>1634</v>
      </c>
      <c r="C1824">
        <v>61005216</v>
      </c>
      <c r="D1824">
        <v>381</v>
      </c>
      <c r="E1824">
        <v>0</v>
      </c>
      <c r="F1824">
        <v>0</v>
      </c>
      <c r="G1824">
        <v>0</v>
      </c>
      <c r="H1824">
        <v>381</v>
      </c>
      <c r="I1824" s="183" t="s">
        <v>1243</v>
      </c>
      <c r="J1824" s="183" t="s">
        <v>12053</v>
      </c>
      <c r="K1824">
        <v>0</v>
      </c>
      <c r="L1824">
        <v>381</v>
      </c>
    </row>
    <row r="1825" spans="1:12">
      <c r="A1825" s="183" t="s">
        <v>5764</v>
      </c>
      <c r="B1825" s="183" t="s">
        <v>1634</v>
      </c>
      <c r="C1825">
        <v>61005219</v>
      </c>
      <c r="D1825">
        <v>263</v>
      </c>
      <c r="E1825">
        <v>0</v>
      </c>
      <c r="F1825">
        <v>0</v>
      </c>
      <c r="G1825">
        <v>0</v>
      </c>
      <c r="H1825">
        <v>263</v>
      </c>
      <c r="I1825" s="183" t="s">
        <v>1243</v>
      </c>
      <c r="J1825" s="183" t="s">
        <v>12050</v>
      </c>
      <c r="K1825">
        <v>0</v>
      </c>
      <c r="L1825">
        <v>263</v>
      </c>
    </row>
    <row r="1826" spans="1:12">
      <c r="A1826" s="183" t="s">
        <v>205</v>
      </c>
      <c r="B1826" s="183" t="s">
        <v>2910</v>
      </c>
      <c r="C1826">
        <v>61007203</v>
      </c>
      <c r="D1826">
        <v>448</v>
      </c>
      <c r="E1826">
        <v>0</v>
      </c>
      <c r="F1826">
        <v>0</v>
      </c>
      <c r="G1826">
        <v>0</v>
      </c>
      <c r="H1826">
        <v>448</v>
      </c>
      <c r="I1826" s="183" t="s">
        <v>1430</v>
      </c>
      <c r="J1826" s="183" t="s">
        <v>12056</v>
      </c>
      <c r="K1826">
        <v>0</v>
      </c>
      <c r="L1826">
        <v>448</v>
      </c>
    </row>
    <row r="1827" spans="1:12">
      <c r="A1827" s="183" t="s">
        <v>3853</v>
      </c>
      <c r="B1827" s="183" t="s">
        <v>3854</v>
      </c>
      <c r="C1827">
        <v>61007212</v>
      </c>
      <c r="D1827">
        <v>237</v>
      </c>
      <c r="E1827">
        <v>0</v>
      </c>
      <c r="F1827">
        <v>7</v>
      </c>
      <c r="G1827">
        <v>0</v>
      </c>
      <c r="H1827">
        <v>244</v>
      </c>
      <c r="I1827" s="183" t="s">
        <v>1430</v>
      </c>
      <c r="J1827" s="183" t="s">
        <v>12060</v>
      </c>
      <c r="K1827">
        <v>0</v>
      </c>
      <c r="L1827">
        <v>237</v>
      </c>
    </row>
    <row r="1828" spans="1:12">
      <c r="A1828" s="183" t="s">
        <v>2774</v>
      </c>
      <c r="B1828" s="183" t="s">
        <v>2775</v>
      </c>
      <c r="C1828">
        <v>61008203</v>
      </c>
      <c r="D1828">
        <v>475</v>
      </c>
      <c r="E1828">
        <v>0</v>
      </c>
      <c r="F1828">
        <v>0</v>
      </c>
      <c r="G1828">
        <v>0</v>
      </c>
      <c r="H1828">
        <v>475</v>
      </c>
      <c r="I1828" s="183" t="s">
        <v>1267</v>
      </c>
      <c r="J1828" s="183" t="s">
        <v>12054</v>
      </c>
      <c r="K1828">
        <v>0</v>
      </c>
      <c r="L1828">
        <v>475</v>
      </c>
    </row>
    <row r="1829" spans="1:12">
      <c r="A1829" s="183" t="s">
        <v>2889</v>
      </c>
      <c r="B1829" s="183" t="s">
        <v>2890</v>
      </c>
      <c r="C1829">
        <v>61008216</v>
      </c>
      <c r="D1829">
        <v>268</v>
      </c>
      <c r="E1829">
        <v>0</v>
      </c>
      <c r="F1829">
        <v>0</v>
      </c>
      <c r="G1829">
        <v>0</v>
      </c>
      <c r="H1829">
        <v>268</v>
      </c>
      <c r="I1829" s="183" t="s">
        <v>1267</v>
      </c>
      <c r="J1829" s="183" t="s">
        <v>12058</v>
      </c>
      <c r="K1829">
        <v>0</v>
      </c>
      <c r="L1829">
        <v>268</v>
      </c>
    </row>
    <row r="1830" spans="1:12">
      <c r="A1830" s="183" t="s">
        <v>4914</v>
      </c>
      <c r="B1830" s="183" t="s">
        <v>4915</v>
      </c>
      <c r="C1830">
        <v>61008220</v>
      </c>
      <c r="D1830">
        <v>365</v>
      </c>
      <c r="E1830">
        <v>0</v>
      </c>
      <c r="F1830">
        <v>0</v>
      </c>
      <c r="G1830">
        <v>0</v>
      </c>
      <c r="H1830">
        <v>365</v>
      </c>
      <c r="I1830" s="183" t="s">
        <v>1267</v>
      </c>
      <c r="J1830" s="183" t="s">
        <v>12052</v>
      </c>
      <c r="K1830">
        <v>0</v>
      </c>
      <c r="L1830">
        <v>365</v>
      </c>
    </row>
    <row r="1831" spans="1:12">
      <c r="A1831" s="183" t="s">
        <v>3194</v>
      </c>
      <c r="B1831" s="183" t="s">
        <v>3195</v>
      </c>
      <c r="C1831">
        <v>64004205</v>
      </c>
      <c r="D1831">
        <v>408</v>
      </c>
      <c r="E1831">
        <v>0</v>
      </c>
      <c r="F1831">
        <v>0</v>
      </c>
      <c r="G1831">
        <v>0</v>
      </c>
      <c r="H1831">
        <v>408</v>
      </c>
      <c r="I1831" s="183" t="s">
        <v>1051</v>
      </c>
      <c r="J1831" s="183" t="s">
        <v>12052</v>
      </c>
      <c r="K1831">
        <v>0</v>
      </c>
      <c r="L1831">
        <v>408</v>
      </c>
    </row>
    <row r="1832" spans="1:12">
      <c r="A1832" s="183" t="s">
        <v>3039</v>
      </c>
      <c r="B1832" s="183" t="s">
        <v>3040</v>
      </c>
      <c r="C1832">
        <v>64004206</v>
      </c>
      <c r="D1832">
        <v>380</v>
      </c>
      <c r="E1832">
        <v>0</v>
      </c>
      <c r="F1832">
        <v>0</v>
      </c>
      <c r="G1832">
        <v>0</v>
      </c>
      <c r="H1832">
        <v>380</v>
      </c>
      <c r="I1832" s="183" t="s">
        <v>1051</v>
      </c>
      <c r="J1832" s="183" t="s">
        <v>12091</v>
      </c>
      <c r="K1832">
        <v>0</v>
      </c>
      <c r="L1832">
        <v>380</v>
      </c>
    </row>
    <row r="1833" spans="1:12">
      <c r="A1833" s="183" t="s">
        <v>6207</v>
      </c>
      <c r="B1833" s="183" t="s">
        <v>6208</v>
      </c>
      <c r="C1833">
        <v>64004219</v>
      </c>
      <c r="D1833">
        <v>326</v>
      </c>
      <c r="E1833">
        <v>0</v>
      </c>
      <c r="F1833">
        <v>0</v>
      </c>
      <c r="G1833">
        <v>0</v>
      </c>
      <c r="H1833">
        <v>326</v>
      </c>
      <c r="I1833" s="183" t="s">
        <v>1051</v>
      </c>
      <c r="J1833" s="183" t="s">
        <v>12053</v>
      </c>
      <c r="K1833">
        <v>0</v>
      </c>
      <c r="L1833">
        <v>326</v>
      </c>
    </row>
    <row r="1834" spans="1:12">
      <c r="A1834" s="183" t="s">
        <v>12018</v>
      </c>
      <c r="B1834" s="183" t="s">
        <v>12019</v>
      </c>
      <c r="C1834">
        <v>64001204</v>
      </c>
      <c r="D1834">
        <v>246</v>
      </c>
      <c r="E1834">
        <v>0</v>
      </c>
      <c r="F1834">
        <v>0</v>
      </c>
      <c r="G1834">
        <v>0</v>
      </c>
      <c r="H1834">
        <v>246</v>
      </c>
      <c r="I1834" s="183" t="s">
        <v>1062</v>
      </c>
      <c r="J1834" s="183" t="s">
        <v>12085</v>
      </c>
      <c r="K1834">
        <v>0</v>
      </c>
      <c r="L1834">
        <v>246</v>
      </c>
    </row>
    <row r="1835" spans="1:12">
      <c r="A1835" s="183" t="s">
        <v>4857</v>
      </c>
      <c r="B1835" s="183" t="s">
        <v>4858</v>
      </c>
      <c r="C1835">
        <v>64001205</v>
      </c>
      <c r="D1835">
        <v>34</v>
      </c>
      <c r="E1835">
        <v>0</v>
      </c>
      <c r="F1835">
        <v>0</v>
      </c>
      <c r="G1835">
        <v>0</v>
      </c>
      <c r="H1835">
        <v>34</v>
      </c>
      <c r="I1835" s="183" t="s">
        <v>1062</v>
      </c>
      <c r="J1835" s="183" t="s">
        <v>12053</v>
      </c>
      <c r="K1835">
        <v>0</v>
      </c>
      <c r="L1835">
        <v>34</v>
      </c>
    </row>
    <row r="1836" spans="1:12">
      <c r="A1836" s="183" t="s">
        <v>6209</v>
      </c>
      <c r="B1836" s="183" t="s">
        <v>6210</v>
      </c>
      <c r="C1836">
        <v>64001213</v>
      </c>
      <c r="D1836" s="501">
        <v>1494</v>
      </c>
      <c r="E1836">
        <v>0</v>
      </c>
      <c r="F1836">
        <v>2</v>
      </c>
      <c r="G1836">
        <v>0</v>
      </c>
      <c r="H1836" s="501">
        <v>1496</v>
      </c>
      <c r="I1836" s="183" t="s">
        <v>1062</v>
      </c>
      <c r="J1836" s="183" t="s">
        <v>12053</v>
      </c>
      <c r="K1836">
        <v>0</v>
      </c>
      <c r="L1836" s="501">
        <v>1494</v>
      </c>
    </row>
    <row r="1837" spans="1:12">
      <c r="A1837" s="183" t="s">
        <v>227</v>
      </c>
      <c r="B1837" s="183" t="s">
        <v>2734</v>
      </c>
      <c r="C1837">
        <v>64001224</v>
      </c>
      <c r="D1837">
        <v>135</v>
      </c>
      <c r="E1837">
        <v>0</v>
      </c>
      <c r="F1837">
        <v>0</v>
      </c>
      <c r="G1837">
        <v>0</v>
      </c>
      <c r="H1837">
        <v>135</v>
      </c>
      <c r="I1837" s="183" t="s">
        <v>1062</v>
      </c>
      <c r="J1837" s="183" t="s">
        <v>12081</v>
      </c>
      <c r="K1837">
        <v>0</v>
      </c>
      <c r="L1837">
        <v>135</v>
      </c>
    </row>
    <row r="1838" spans="1:12">
      <c r="A1838" s="183" t="s">
        <v>12001</v>
      </c>
      <c r="B1838" s="183" t="s">
        <v>12002</v>
      </c>
      <c r="C1838">
        <v>64001226</v>
      </c>
      <c r="D1838">
        <v>519</v>
      </c>
      <c r="E1838">
        <v>0</v>
      </c>
      <c r="F1838">
        <v>0</v>
      </c>
      <c r="G1838">
        <v>0</v>
      </c>
      <c r="H1838">
        <v>519</v>
      </c>
      <c r="I1838" s="183" t="s">
        <v>1062</v>
      </c>
      <c r="J1838" s="183" t="s">
        <v>12094</v>
      </c>
      <c r="K1838">
        <v>0</v>
      </c>
      <c r="L1838">
        <v>519</v>
      </c>
    </row>
    <row r="1839" spans="1:12">
      <c r="A1839" s="183" t="s">
        <v>6151</v>
      </c>
      <c r="B1839" s="183" t="s">
        <v>6152</v>
      </c>
      <c r="C1839">
        <v>64003200</v>
      </c>
      <c r="D1839" s="501">
        <v>1329</v>
      </c>
      <c r="E1839">
        <v>0</v>
      </c>
      <c r="F1839">
        <v>2</v>
      </c>
      <c r="G1839">
        <v>0</v>
      </c>
      <c r="H1839" s="501">
        <v>1331</v>
      </c>
      <c r="I1839" s="183" t="s">
        <v>1012</v>
      </c>
      <c r="J1839" s="183" t="s">
        <v>12085</v>
      </c>
      <c r="K1839">
        <v>0</v>
      </c>
      <c r="L1839" s="501">
        <v>1329</v>
      </c>
    </row>
    <row r="1840" spans="1:12">
      <c r="A1840" s="183" t="s">
        <v>6096</v>
      </c>
      <c r="B1840" s="183" t="s">
        <v>6097</v>
      </c>
      <c r="C1840">
        <v>64003206</v>
      </c>
      <c r="D1840">
        <v>482</v>
      </c>
      <c r="E1840">
        <v>0</v>
      </c>
      <c r="F1840">
        <v>0</v>
      </c>
      <c r="G1840">
        <v>0</v>
      </c>
      <c r="H1840">
        <v>482</v>
      </c>
      <c r="I1840" s="183" t="s">
        <v>1012</v>
      </c>
      <c r="J1840" s="183" t="s">
        <v>12093</v>
      </c>
      <c r="K1840">
        <v>0</v>
      </c>
      <c r="L1840">
        <v>482</v>
      </c>
    </row>
    <row r="1841" spans="1:12">
      <c r="A1841" s="183" t="s">
        <v>6098</v>
      </c>
      <c r="B1841" s="183" t="s">
        <v>6099</v>
      </c>
      <c r="C1841">
        <v>64003209</v>
      </c>
      <c r="D1841">
        <v>504</v>
      </c>
      <c r="E1841">
        <v>0</v>
      </c>
      <c r="F1841">
        <v>0</v>
      </c>
      <c r="G1841">
        <v>0</v>
      </c>
      <c r="H1841">
        <v>504</v>
      </c>
      <c r="I1841" s="183" t="s">
        <v>1012</v>
      </c>
      <c r="J1841" s="183" t="s">
        <v>12085</v>
      </c>
      <c r="K1841">
        <v>0</v>
      </c>
      <c r="L1841">
        <v>504</v>
      </c>
    </row>
    <row r="1842" spans="1:12">
      <c r="A1842" s="183" t="s">
        <v>6153</v>
      </c>
      <c r="B1842" s="183" t="s">
        <v>6154</v>
      </c>
      <c r="C1842">
        <v>64003215</v>
      </c>
      <c r="D1842">
        <v>528</v>
      </c>
      <c r="E1842">
        <v>0</v>
      </c>
      <c r="F1842">
        <v>0</v>
      </c>
      <c r="G1842">
        <v>0</v>
      </c>
      <c r="H1842">
        <v>528</v>
      </c>
      <c r="I1842" s="183" t="s">
        <v>1012</v>
      </c>
      <c r="J1842" s="183" t="s">
        <v>12060</v>
      </c>
      <c r="K1842">
        <v>0</v>
      </c>
      <c r="L1842">
        <v>528</v>
      </c>
    </row>
    <row r="1843" spans="1:12">
      <c r="A1843" s="183" t="s">
        <v>3952</v>
      </c>
      <c r="B1843" s="183" t="s">
        <v>3953</v>
      </c>
      <c r="C1843">
        <v>64003236</v>
      </c>
      <c r="D1843">
        <v>313</v>
      </c>
      <c r="E1843">
        <v>0</v>
      </c>
      <c r="F1843">
        <v>0</v>
      </c>
      <c r="G1843">
        <v>0</v>
      </c>
      <c r="H1843">
        <v>313</v>
      </c>
      <c r="I1843" s="183" t="s">
        <v>1012</v>
      </c>
      <c r="J1843" s="183" t="s">
        <v>12087</v>
      </c>
      <c r="K1843">
        <v>0</v>
      </c>
      <c r="L1843">
        <v>313</v>
      </c>
    </row>
    <row r="1844" spans="1:12">
      <c r="A1844" s="183" t="s">
        <v>2964</v>
      </c>
      <c r="B1844" s="183" t="s">
        <v>2965</v>
      </c>
      <c r="C1844">
        <v>11860202</v>
      </c>
      <c r="D1844">
        <v>279</v>
      </c>
      <c r="E1844">
        <v>0</v>
      </c>
      <c r="F1844">
        <v>0</v>
      </c>
      <c r="G1844">
        <v>0</v>
      </c>
      <c r="H1844">
        <v>279</v>
      </c>
      <c r="I1844" s="183" t="s">
        <v>1052</v>
      </c>
      <c r="J1844" s="183" t="s">
        <v>12057</v>
      </c>
      <c r="K1844">
        <v>0</v>
      </c>
      <c r="L1844">
        <v>279</v>
      </c>
    </row>
    <row r="1845" spans="1:12">
      <c r="A1845" s="183" t="s">
        <v>3857</v>
      </c>
      <c r="B1845" s="183" t="s">
        <v>3858</v>
      </c>
      <c r="C1845">
        <v>11860222</v>
      </c>
      <c r="D1845">
        <v>229</v>
      </c>
      <c r="E1845">
        <v>0</v>
      </c>
      <c r="F1845">
        <v>0</v>
      </c>
      <c r="G1845">
        <v>0</v>
      </c>
      <c r="H1845">
        <v>229</v>
      </c>
      <c r="I1845" s="183" t="s">
        <v>1052</v>
      </c>
      <c r="J1845" s="183" t="s">
        <v>12063</v>
      </c>
      <c r="K1845">
        <v>0</v>
      </c>
      <c r="L1845">
        <v>229</v>
      </c>
    </row>
    <row r="1846" spans="1:12">
      <c r="A1846" s="183" t="s">
        <v>731</v>
      </c>
      <c r="B1846" s="183" t="s">
        <v>1227</v>
      </c>
      <c r="C1846">
        <v>7200207</v>
      </c>
      <c r="D1846">
        <v>399</v>
      </c>
      <c r="E1846">
        <v>0</v>
      </c>
      <c r="F1846">
        <v>0</v>
      </c>
      <c r="G1846">
        <v>0</v>
      </c>
      <c r="H1846">
        <v>399</v>
      </c>
      <c r="I1846" s="183" t="s">
        <v>1228</v>
      </c>
      <c r="J1846" s="183" t="s">
        <v>12093</v>
      </c>
      <c r="K1846">
        <v>0</v>
      </c>
      <c r="L1846">
        <v>399</v>
      </c>
    </row>
    <row r="1847" spans="1:12">
      <c r="A1847" s="183" t="s">
        <v>257</v>
      </c>
      <c r="B1847" s="183" t="s">
        <v>1227</v>
      </c>
      <c r="C1847">
        <v>7200238</v>
      </c>
      <c r="D1847">
        <v>659</v>
      </c>
      <c r="E1847">
        <v>0</v>
      </c>
      <c r="F1847">
        <v>0</v>
      </c>
      <c r="G1847">
        <v>0</v>
      </c>
      <c r="H1847">
        <v>659</v>
      </c>
      <c r="I1847" s="183" t="s">
        <v>1228</v>
      </c>
      <c r="J1847" s="183" t="s">
        <v>12093</v>
      </c>
      <c r="K1847">
        <v>0</v>
      </c>
      <c r="L1847">
        <v>659</v>
      </c>
    </row>
    <row r="1848" spans="1:12">
      <c r="A1848" s="183" t="s">
        <v>258</v>
      </c>
      <c r="B1848" s="183" t="s">
        <v>2759</v>
      </c>
      <c r="C1848">
        <v>7200240</v>
      </c>
      <c r="D1848">
        <v>441</v>
      </c>
      <c r="E1848">
        <v>0</v>
      </c>
      <c r="F1848">
        <v>0</v>
      </c>
      <c r="G1848">
        <v>0</v>
      </c>
      <c r="H1848">
        <v>441</v>
      </c>
      <c r="I1848" s="183" t="s">
        <v>1228</v>
      </c>
      <c r="J1848" s="183" t="s">
        <v>12081</v>
      </c>
      <c r="K1848">
        <v>0</v>
      </c>
      <c r="L1848">
        <v>441</v>
      </c>
    </row>
    <row r="1849" spans="1:12">
      <c r="A1849" s="183" t="s">
        <v>263</v>
      </c>
      <c r="B1849" s="183" t="s">
        <v>264</v>
      </c>
      <c r="C1849">
        <v>2290204</v>
      </c>
      <c r="D1849">
        <v>51</v>
      </c>
      <c r="E1849">
        <v>0</v>
      </c>
      <c r="F1849">
        <v>0</v>
      </c>
      <c r="G1849">
        <v>0</v>
      </c>
      <c r="H1849">
        <v>51</v>
      </c>
      <c r="I1849" s="183" t="s">
        <v>1053</v>
      </c>
      <c r="J1849" s="183" t="s">
        <v>12053</v>
      </c>
      <c r="K1849">
        <v>0</v>
      </c>
      <c r="L1849">
        <v>51</v>
      </c>
    </row>
    <row r="1850" spans="1:12">
      <c r="A1850" s="183" t="s">
        <v>724</v>
      </c>
      <c r="B1850" s="183" t="s">
        <v>728</v>
      </c>
      <c r="C1850">
        <v>2290213</v>
      </c>
      <c r="D1850">
        <v>15</v>
      </c>
      <c r="E1850">
        <v>0</v>
      </c>
      <c r="F1850">
        <v>0</v>
      </c>
      <c r="G1850">
        <v>0</v>
      </c>
      <c r="H1850">
        <v>15</v>
      </c>
      <c r="I1850" s="183" t="s">
        <v>1053</v>
      </c>
      <c r="J1850" s="183" t="s">
        <v>12054</v>
      </c>
      <c r="K1850">
        <v>0</v>
      </c>
      <c r="L1850">
        <v>15</v>
      </c>
    </row>
    <row r="1851" spans="1:12">
      <c r="A1851" s="183" t="s">
        <v>3197</v>
      </c>
      <c r="B1851" s="183" t="s">
        <v>3198</v>
      </c>
      <c r="C1851">
        <v>63009202</v>
      </c>
      <c r="D1851">
        <v>116</v>
      </c>
      <c r="E1851">
        <v>0</v>
      </c>
      <c r="F1851">
        <v>0</v>
      </c>
      <c r="G1851">
        <v>0</v>
      </c>
      <c r="H1851">
        <v>116</v>
      </c>
      <c r="I1851" s="183" t="s">
        <v>1093</v>
      </c>
      <c r="J1851" s="183" t="s">
        <v>12057</v>
      </c>
      <c r="K1851">
        <v>0</v>
      </c>
      <c r="L1851">
        <v>116</v>
      </c>
    </row>
    <row r="1852" spans="1:12">
      <c r="A1852" s="183" t="s">
        <v>5774</v>
      </c>
      <c r="B1852" s="183" t="s">
        <v>5775</v>
      </c>
      <c r="C1852">
        <v>63009205</v>
      </c>
      <c r="D1852">
        <v>594</v>
      </c>
      <c r="E1852">
        <v>0</v>
      </c>
      <c r="F1852">
        <v>0</v>
      </c>
      <c r="G1852">
        <v>0</v>
      </c>
      <c r="H1852">
        <v>594</v>
      </c>
      <c r="I1852" s="183" t="s">
        <v>1093</v>
      </c>
      <c r="J1852" s="183" t="s">
        <v>12092</v>
      </c>
      <c r="K1852">
        <v>0</v>
      </c>
      <c r="L1852">
        <v>594</v>
      </c>
    </row>
    <row r="1853" spans="1:12">
      <c r="A1853" s="183" t="s">
        <v>1118</v>
      </c>
      <c r="B1853" s="183" t="s">
        <v>1119</v>
      </c>
      <c r="C1853">
        <v>63009221</v>
      </c>
      <c r="D1853">
        <v>389</v>
      </c>
      <c r="E1853">
        <v>0</v>
      </c>
      <c r="F1853">
        <v>0</v>
      </c>
      <c r="G1853">
        <v>0</v>
      </c>
      <c r="H1853">
        <v>389</v>
      </c>
      <c r="I1853" s="183" t="s">
        <v>1093</v>
      </c>
      <c r="J1853" s="183" t="s">
        <v>12092</v>
      </c>
      <c r="K1853">
        <v>0</v>
      </c>
      <c r="L1853">
        <v>389</v>
      </c>
    </row>
    <row r="1854" spans="1:12">
      <c r="A1854" s="183" t="s">
        <v>6221</v>
      </c>
      <c r="B1854" s="183" t="s">
        <v>6222</v>
      </c>
      <c r="C1854">
        <v>63009222</v>
      </c>
      <c r="D1854">
        <v>211</v>
      </c>
      <c r="E1854">
        <v>0</v>
      </c>
      <c r="F1854">
        <v>0</v>
      </c>
      <c r="G1854">
        <v>0</v>
      </c>
      <c r="H1854">
        <v>211</v>
      </c>
      <c r="I1854" s="183" t="s">
        <v>1093</v>
      </c>
      <c r="J1854" s="183" t="s">
        <v>12058</v>
      </c>
      <c r="K1854">
        <v>0</v>
      </c>
      <c r="L1854">
        <v>211</v>
      </c>
    </row>
    <row r="1855" spans="1:12">
      <c r="A1855" s="183" t="s">
        <v>3100</v>
      </c>
      <c r="B1855" s="183" t="s">
        <v>1064</v>
      </c>
      <c r="C1855">
        <v>50075180</v>
      </c>
      <c r="D1855">
        <v>943</v>
      </c>
      <c r="E1855">
        <v>0</v>
      </c>
      <c r="F1855">
        <v>0</v>
      </c>
      <c r="G1855">
        <v>0</v>
      </c>
      <c r="H1855">
        <v>943</v>
      </c>
      <c r="I1855" s="183" t="s">
        <v>1065</v>
      </c>
      <c r="J1855" s="183" t="s">
        <v>12058</v>
      </c>
      <c r="K1855">
        <v>0</v>
      </c>
      <c r="L1855">
        <v>943</v>
      </c>
    </row>
    <row r="1856" spans="1:12">
      <c r="A1856" s="183" t="s">
        <v>291</v>
      </c>
      <c r="B1856" s="183" t="s">
        <v>1064</v>
      </c>
      <c r="C1856">
        <v>50125180</v>
      </c>
      <c r="D1856">
        <v>400</v>
      </c>
      <c r="E1856">
        <v>0</v>
      </c>
      <c r="F1856">
        <v>0</v>
      </c>
      <c r="G1856">
        <v>0</v>
      </c>
      <c r="H1856">
        <v>400</v>
      </c>
      <c r="I1856" s="183" t="s">
        <v>1065</v>
      </c>
      <c r="J1856" s="183" t="s">
        <v>12060</v>
      </c>
      <c r="K1856">
        <v>0</v>
      </c>
      <c r="L1856">
        <v>400</v>
      </c>
    </row>
    <row r="1857" spans="1:12">
      <c r="A1857" s="183" t="s">
        <v>4612</v>
      </c>
      <c r="B1857" s="183" t="s">
        <v>1064</v>
      </c>
      <c r="C1857">
        <v>125125180</v>
      </c>
      <c r="D1857">
        <v>273</v>
      </c>
      <c r="E1857">
        <v>0</v>
      </c>
      <c r="F1857">
        <v>0</v>
      </c>
      <c r="G1857">
        <v>0</v>
      </c>
      <c r="H1857">
        <v>273</v>
      </c>
      <c r="I1857" s="183" t="s">
        <v>1065</v>
      </c>
      <c r="J1857" s="183" t="s">
        <v>12061</v>
      </c>
      <c r="K1857">
        <v>0</v>
      </c>
      <c r="L1857">
        <v>273</v>
      </c>
    </row>
    <row r="1858" spans="1:12">
      <c r="A1858" s="183" t="s">
        <v>3079</v>
      </c>
      <c r="B1858" s="183" t="s">
        <v>1064</v>
      </c>
      <c r="C1858">
        <v>200125180</v>
      </c>
      <c r="D1858">
        <v>189</v>
      </c>
      <c r="E1858">
        <v>0</v>
      </c>
      <c r="F1858">
        <v>0</v>
      </c>
      <c r="G1858">
        <v>0</v>
      </c>
      <c r="H1858">
        <v>189</v>
      </c>
      <c r="I1858" s="183" t="s">
        <v>1065</v>
      </c>
      <c r="J1858" s="183" t="s">
        <v>12092</v>
      </c>
      <c r="K1858">
        <v>0</v>
      </c>
      <c r="L1858">
        <v>189</v>
      </c>
    </row>
    <row r="1859" spans="1:12">
      <c r="A1859" s="183" t="s">
        <v>722</v>
      </c>
      <c r="B1859" s="183" t="s">
        <v>1064</v>
      </c>
      <c r="C1859">
        <v>225175180</v>
      </c>
      <c r="D1859">
        <v>121</v>
      </c>
      <c r="E1859">
        <v>0</v>
      </c>
      <c r="F1859">
        <v>0</v>
      </c>
      <c r="G1859">
        <v>0</v>
      </c>
      <c r="H1859">
        <v>121</v>
      </c>
      <c r="I1859" s="183" t="s">
        <v>1065</v>
      </c>
      <c r="J1859" s="183" t="s">
        <v>12053</v>
      </c>
      <c r="K1859">
        <v>0</v>
      </c>
      <c r="L1859">
        <v>121</v>
      </c>
    </row>
    <row r="1860" spans="1:12">
      <c r="A1860" s="183" t="s">
        <v>3081</v>
      </c>
      <c r="B1860" s="183" t="s">
        <v>1064</v>
      </c>
      <c r="C1860">
        <v>300075180</v>
      </c>
      <c r="D1860">
        <v>157</v>
      </c>
      <c r="E1860">
        <v>0</v>
      </c>
      <c r="F1860">
        <v>0</v>
      </c>
      <c r="G1860">
        <v>0</v>
      </c>
      <c r="H1860">
        <v>157</v>
      </c>
      <c r="I1860" s="183" t="s">
        <v>1065</v>
      </c>
      <c r="J1860" s="183" t="s">
        <v>12058</v>
      </c>
      <c r="K1860">
        <v>0</v>
      </c>
      <c r="L1860">
        <v>157</v>
      </c>
    </row>
    <row r="1861" spans="1:12">
      <c r="A1861" s="183" t="s">
        <v>6896</v>
      </c>
      <c r="B1861" s="183" t="s">
        <v>1064</v>
      </c>
      <c r="C1861">
        <v>325075180</v>
      </c>
      <c r="D1861">
        <v>501</v>
      </c>
      <c r="E1861">
        <v>0</v>
      </c>
      <c r="F1861">
        <v>0</v>
      </c>
      <c r="G1861">
        <v>0</v>
      </c>
      <c r="H1861">
        <v>501</v>
      </c>
      <c r="I1861" s="183" t="s">
        <v>1065</v>
      </c>
      <c r="J1861" s="183" t="s">
        <v>12087</v>
      </c>
      <c r="K1861">
        <v>0</v>
      </c>
      <c r="L1861">
        <v>501</v>
      </c>
    </row>
    <row r="1862" spans="1:12">
      <c r="A1862" s="183" t="s">
        <v>4623</v>
      </c>
      <c r="B1862" s="183" t="s">
        <v>1064</v>
      </c>
      <c r="C1862">
        <v>325175180</v>
      </c>
      <c r="D1862">
        <v>491</v>
      </c>
      <c r="E1862">
        <v>0</v>
      </c>
      <c r="F1862">
        <v>0</v>
      </c>
      <c r="G1862">
        <v>0</v>
      </c>
      <c r="H1862">
        <v>491</v>
      </c>
      <c r="I1862" s="183" t="s">
        <v>1065</v>
      </c>
      <c r="J1862" s="183" t="s">
        <v>12091</v>
      </c>
      <c r="K1862">
        <v>0</v>
      </c>
      <c r="L1862">
        <v>491</v>
      </c>
    </row>
    <row r="1863" spans="1:12">
      <c r="A1863" s="183" t="s">
        <v>4903</v>
      </c>
      <c r="B1863" s="183" t="s">
        <v>4904</v>
      </c>
      <c r="C1863">
        <v>64002222</v>
      </c>
      <c r="D1863" s="501">
        <v>1419</v>
      </c>
      <c r="E1863">
        <v>0</v>
      </c>
      <c r="F1863">
        <v>0</v>
      </c>
      <c r="G1863">
        <v>0</v>
      </c>
      <c r="H1863" s="501">
        <v>1419</v>
      </c>
      <c r="I1863" s="183" t="s">
        <v>984</v>
      </c>
      <c r="J1863" s="183" t="s">
        <v>12087</v>
      </c>
      <c r="K1863">
        <v>0</v>
      </c>
      <c r="L1863" s="501">
        <v>1419</v>
      </c>
    </row>
    <row r="1864" spans="1:12">
      <c r="A1864" s="183" t="s">
        <v>158</v>
      </c>
      <c r="B1864" s="183" t="s">
        <v>1082</v>
      </c>
      <c r="C1864">
        <v>61006202</v>
      </c>
      <c r="D1864">
        <v>438</v>
      </c>
      <c r="E1864">
        <v>0</v>
      </c>
      <c r="F1864">
        <v>19</v>
      </c>
      <c r="G1864">
        <v>0</v>
      </c>
      <c r="H1864">
        <v>457</v>
      </c>
      <c r="I1864" s="183" t="s">
        <v>1083</v>
      </c>
      <c r="J1864" s="183" t="s">
        <v>12060</v>
      </c>
      <c r="K1864">
        <v>0</v>
      </c>
      <c r="L1864">
        <v>438</v>
      </c>
    </row>
    <row r="1865" spans="1:12">
      <c r="A1865" s="183" t="s">
        <v>7167</v>
      </c>
      <c r="B1865" s="183" t="s">
        <v>1087</v>
      </c>
      <c r="C1865">
        <v>61006220</v>
      </c>
      <c r="D1865">
        <v>221</v>
      </c>
      <c r="E1865">
        <v>0</v>
      </c>
      <c r="F1865">
        <v>0</v>
      </c>
      <c r="G1865">
        <v>0</v>
      </c>
      <c r="H1865">
        <v>221</v>
      </c>
      <c r="I1865" s="183" t="s">
        <v>1083</v>
      </c>
      <c r="J1865" s="183" t="s">
        <v>12056</v>
      </c>
      <c r="K1865">
        <v>0</v>
      </c>
      <c r="L1865">
        <v>221</v>
      </c>
    </row>
    <row r="1866" spans="1:12">
      <c r="A1866" s="183" t="s">
        <v>179</v>
      </c>
      <c r="B1866" s="183" t="s">
        <v>1525</v>
      </c>
      <c r="C1866">
        <v>61006234</v>
      </c>
      <c r="D1866">
        <v>264</v>
      </c>
      <c r="E1866">
        <v>0</v>
      </c>
      <c r="F1866">
        <v>0</v>
      </c>
      <c r="G1866">
        <v>0</v>
      </c>
      <c r="H1866">
        <v>264</v>
      </c>
      <c r="I1866" s="183" t="s">
        <v>1083</v>
      </c>
      <c r="J1866" s="183" t="s">
        <v>12056</v>
      </c>
      <c r="K1866">
        <v>0</v>
      </c>
      <c r="L1866">
        <v>264</v>
      </c>
    </row>
    <row r="1867" spans="1:12">
      <c r="A1867" s="183" t="s">
        <v>5765</v>
      </c>
      <c r="B1867" s="183" t="s">
        <v>1634</v>
      </c>
      <c r="C1867">
        <v>61005217</v>
      </c>
      <c r="D1867">
        <v>438</v>
      </c>
      <c r="E1867">
        <v>0</v>
      </c>
      <c r="F1867">
        <v>0</v>
      </c>
      <c r="G1867">
        <v>0</v>
      </c>
      <c r="H1867">
        <v>438</v>
      </c>
      <c r="I1867" s="183" t="s">
        <v>1243</v>
      </c>
      <c r="J1867" s="183" t="s">
        <v>12087</v>
      </c>
      <c r="K1867">
        <v>0</v>
      </c>
      <c r="L1867">
        <v>438</v>
      </c>
    </row>
    <row r="1868" spans="1:12">
      <c r="A1868" s="183" t="s">
        <v>4947</v>
      </c>
      <c r="B1868" s="183" t="s">
        <v>4948</v>
      </c>
      <c r="C1868">
        <v>61007200</v>
      </c>
      <c r="D1868">
        <v>296</v>
      </c>
      <c r="E1868">
        <v>0</v>
      </c>
      <c r="F1868">
        <v>0</v>
      </c>
      <c r="G1868">
        <v>0</v>
      </c>
      <c r="H1868">
        <v>296</v>
      </c>
      <c r="I1868" s="183" t="s">
        <v>1430</v>
      </c>
      <c r="J1868" s="183" t="s">
        <v>12056</v>
      </c>
      <c r="K1868">
        <v>0</v>
      </c>
      <c r="L1868">
        <v>296</v>
      </c>
    </row>
    <row r="1869" spans="1:12">
      <c r="A1869" s="183" t="s">
        <v>215</v>
      </c>
      <c r="B1869" s="183" t="s">
        <v>1843</v>
      </c>
      <c r="C1869">
        <v>61007220</v>
      </c>
      <c r="D1869">
        <v>409</v>
      </c>
      <c r="E1869">
        <v>0</v>
      </c>
      <c r="F1869">
        <v>0</v>
      </c>
      <c r="G1869">
        <v>0</v>
      </c>
      <c r="H1869">
        <v>409</v>
      </c>
      <c r="I1869" s="183" t="s">
        <v>1430</v>
      </c>
      <c r="J1869" s="183" t="s">
        <v>12056</v>
      </c>
      <c r="K1869">
        <v>0</v>
      </c>
      <c r="L1869">
        <v>409</v>
      </c>
    </row>
    <row r="1870" spans="1:12">
      <c r="A1870" s="183" t="s">
        <v>217</v>
      </c>
      <c r="B1870" s="183" t="s">
        <v>1876</v>
      </c>
      <c r="C1870">
        <v>61007222</v>
      </c>
      <c r="D1870">
        <v>446</v>
      </c>
      <c r="E1870">
        <v>0</v>
      </c>
      <c r="F1870">
        <v>7</v>
      </c>
      <c r="G1870">
        <v>0</v>
      </c>
      <c r="H1870">
        <v>453</v>
      </c>
      <c r="I1870" s="183" t="s">
        <v>1430</v>
      </c>
      <c r="J1870" s="183" t="s">
        <v>12052</v>
      </c>
      <c r="K1870">
        <v>0</v>
      </c>
      <c r="L1870">
        <v>446</v>
      </c>
    </row>
    <row r="1871" spans="1:12">
      <c r="A1871" s="183" t="s">
        <v>221</v>
      </c>
      <c r="B1871" s="183" t="s">
        <v>1520</v>
      </c>
      <c r="C1871">
        <v>61007232</v>
      </c>
      <c r="D1871">
        <v>326</v>
      </c>
      <c r="E1871">
        <v>0</v>
      </c>
      <c r="F1871">
        <v>0</v>
      </c>
      <c r="G1871">
        <v>0</v>
      </c>
      <c r="H1871">
        <v>326</v>
      </c>
      <c r="I1871" s="183" t="s">
        <v>1430</v>
      </c>
      <c r="J1871" s="183" t="s">
        <v>12052</v>
      </c>
      <c r="K1871">
        <v>0</v>
      </c>
      <c r="L1871">
        <v>326</v>
      </c>
    </row>
    <row r="1872" spans="1:12">
      <c r="A1872" s="183" t="s">
        <v>1669</v>
      </c>
      <c r="B1872" s="183" t="s">
        <v>1670</v>
      </c>
      <c r="C1872">
        <v>61008202</v>
      </c>
      <c r="D1872">
        <v>308</v>
      </c>
      <c r="E1872">
        <v>0</v>
      </c>
      <c r="F1872">
        <v>0</v>
      </c>
      <c r="G1872">
        <v>0</v>
      </c>
      <c r="H1872">
        <v>308</v>
      </c>
      <c r="I1872" s="183" t="s">
        <v>1267</v>
      </c>
      <c r="J1872" s="183" t="s">
        <v>12054</v>
      </c>
      <c r="K1872">
        <v>0</v>
      </c>
      <c r="L1872">
        <v>308</v>
      </c>
    </row>
    <row r="1873" spans="1:12">
      <c r="A1873" s="183" t="s">
        <v>4905</v>
      </c>
      <c r="B1873" s="183" t="s">
        <v>4906</v>
      </c>
      <c r="C1873">
        <v>61008204</v>
      </c>
      <c r="D1873">
        <v>580</v>
      </c>
      <c r="E1873">
        <v>0</v>
      </c>
      <c r="F1873">
        <v>0</v>
      </c>
      <c r="G1873">
        <v>0</v>
      </c>
      <c r="H1873">
        <v>580</v>
      </c>
      <c r="I1873" s="183" t="s">
        <v>1267</v>
      </c>
      <c r="J1873" s="183" t="s">
        <v>12058</v>
      </c>
      <c r="K1873">
        <v>0</v>
      </c>
      <c r="L1873">
        <v>580</v>
      </c>
    </row>
    <row r="1874" spans="1:12">
      <c r="A1874" s="183" t="s">
        <v>4935</v>
      </c>
      <c r="B1874" s="183" t="s">
        <v>4936</v>
      </c>
      <c r="C1874">
        <v>61008205</v>
      </c>
      <c r="D1874">
        <v>419</v>
      </c>
      <c r="E1874">
        <v>0</v>
      </c>
      <c r="F1874">
        <v>0</v>
      </c>
      <c r="G1874">
        <v>0</v>
      </c>
      <c r="H1874">
        <v>419</v>
      </c>
      <c r="I1874" s="183" t="s">
        <v>1267</v>
      </c>
      <c r="J1874" s="183" t="s">
        <v>12056</v>
      </c>
      <c r="K1874">
        <v>0</v>
      </c>
      <c r="L1874">
        <v>419</v>
      </c>
    </row>
    <row r="1875" spans="1:12">
      <c r="A1875" s="183" t="s">
        <v>4933</v>
      </c>
      <c r="B1875" s="183" t="s">
        <v>4934</v>
      </c>
      <c r="C1875">
        <v>61008206</v>
      </c>
      <c r="D1875">
        <v>422</v>
      </c>
      <c r="E1875">
        <v>0</v>
      </c>
      <c r="F1875">
        <v>0</v>
      </c>
      <c r="G1875">
        <v>0</v>
      </c>
      <c r="H1875">
        <v>422</v>
      </c>
      <c r="I1875" s="183" t="s">
        <v>1267</v>
      </c>
      <c r="J1875" s="183" t="s">
        <v>12054</v>
      </c>
      <c r="K1875">
        <v>0</v>
      </c>
      <c r="L1875">
        <v>422</v>
      </c>
    </row>
    <row r="1876" spans="1:12">
      <c r="A1876" s="183" t="s">
        <v>2009</v>
      </c>
      <c r="B1876" s="183" t="s">
        <v>2010</v>
      </c>
      <c r="C1876">
        <v>61008208</v>
      </c>
      <c r="D1876">
        <v>525</v>
      </c>
      <c r="E1876">
        <v>0</v>
      </c>
      <c r="F1876">
        <v>0</v>
      </c>
      <c r="G1876">
        <v>0</v>
      </c>
      <c r="H1876">
        <v>525</v>
      </c>
      <c r="I1876" s="183" t="s">
        <v>1267</v>
      </c>
      <c r="J1876" s="183" t="s">
        <v>12056</v>
      </c>
      <c r="K1876">
        <v>0</v>
      </c>
      <c r="L1876">
        <v>525</v>
      </c>
    </row>
    <row r="1877" spans="1:12">
      <c r="A1877" s="183" t="s">
        <v>2328</v>
      </c>
      <c r="B1877" s="183" t="s">
        <v>2329</v>
      </c>
      <c r="C1877">
        <v>61008210</v>
      </c>
      <c r="D1877">
        <v>554</v>
      </c>
      <c r="E1877">
        <v>0</v>
      </c>
      <c r="F1877">
        <v>0</v>
      </c>
      <c r="G1877">
        <v>0</v>
      </c>
      <c r="H1877">
        <v>554</v>
      </c>
      <c r="I1877" s="183" t="s">
        <v>1267</v>
      </c>
      <c r="J1877" s="183" t="s">
        <v>12053</v>
      </c>
      <c r="K1877">
        <v>0</v>
      </c>
      <c r="L1877">
        <v>554</v>
      </c>
    </row>
    <row r="1878" spans="1:12">
      <c r="A1878" s="183" t="s">
        <v>1871</v>
      </c>
      <c r="B1878" s="183" t="s">
        <v>1872</v>
      </c>
      <c r="C1878">
        <v>61008218</v>
      </c>
      <c r="D1878">
        <v>416</v>
      </c>
      <c r="E1878">
        <v>0</v>
      </c>
      <c r="F1878">
        <v>0</v>
      </c>
      <c r="G1878">
        <v>0</v>
      </c>
      <c r="H1878">
        <v>416</v>
      </c>
      <c r="I1878" s="183" t="s">
        <v>1267</v>
      </c>
      <c r="J1878" s="183" t="s">
        <v>12059</v>
      </c>
      <c r="K1878">
        <v>0</v>
      </c>
      <c r="L1878">
        <v>416</v>
      </c>
    </row>
    <row r="1879" spans="1:12">
      <c r="A1879" s="183" t="s">
        <v>2483</v>
      </c>
      <c r="B1879" s="183" t="s">
        <v>2484</v>
      </c>
      <c r="C1879">
        <v>61008219</v>
      </c>
      <c r="D1879">
        <v>442</v>
      </c>
      <c r="E1879">
        <v>0</v>
      </c>
      <c r="F1879">
        <v>0</v>
      </c>
      <c r="G1879">
        <v>0</v>
      </c>
      <c r="H1879">
        <v>442</v>
      </c>
      <c r="I1879" s="183" t="s">
        <v>1267</v>
      </c>
      <c r="J1879" s="183" t="s">
        <v>12059</v>
      </c>
      <c r="K1879">
        <v>0</v>
      </c>
      <c r="L1879">
        <v>442</v>
      </c>
    </row>
    <row r="1880" spans="1:12">
      <c r="A1880" s="183" t="s">
        <v>4953</v>
      </c>
      <c r="B1880" s="183" t="s">
        <v>4954</v>
      </c>
      <c r="C1880">
        <v>64004207</v>
      </c>
      <c r="D1880">
        <v>500</v>
      </c>
      <c r="E1880">
        <v>0</v>
      </c>
      <c r="F1880">
        <v>0</v>
      </c>
      <c r="G1880">
        <v>0</v>
      </c>
      <c r="H1880">
        <v>500</v>
      </c>
      <c r="I1880" s="183" t="s">
        <v>1051</v>
      </c>
      <c r="J1880" s="183" t="s">
        <v>12081</v>
      </c>
      <c r="K1880">
        <v>0</v>
      </c>
      <c r="L1880">
        <v>500</v>
      </c>
    </row>
    <row r="1881" spans="1:12">
      <c r="A1881" s="183" t="s">
        <v>6266</v>
      </c>
      <c r="B1881" s="183" t="s">
        <v>6267</v>
      </c>
      <c r="C1881">
        <v>64004218</v>
      </c>
      <c r="D1881">
        <v>404</v>
      </c>
      <c r="E1881">
        <v>0</v>
      </c>
      <c r="F1881">
        <v>0</v>
      </c>
      <c r="G1881">
        <v>0</v>
      </c>
      <c r="H1881">
        <v>404</v>
      </c>
      <c r="I1881" s="183" t="s">
        <v>1051</v>
      </c>
      <c r="J1881" s="183" t="s">
        <v>12081</v>
      </c>
      <c r="K1881">
        <v>0</v>
      </c>
      <c r="L1881">
        <v>404</v>
      </c>
    </row>
    <row r="1882" spans="1:12">
      <c r="A1882" s="183" t="s">
        <v>3070</v>
      </c>
      <c r="B1882" s="183" t="s">
        <v>3071</v>
      </c>
      <c r="C1882">
        <v>64004230</v>
      </c>
      <c r="D1882">
        <v>191</v>
      </c>
      <c r="E1882">
        <v>0</v>
      </c>
      <c r="F1882">
        <v>0</v>
      </c>
      <c r="G1882">
        <v>0</v>
      </c>
      <c r="H1882">
        <v>191</v>
      </c>
      <c r="I1882" s="183" t="s">
        <v>1051</v>
      </c>
      <c r="J1882" s="183" t="s">
        <v>12091</v>
      </c>
      <c r="K1882">
        <v>0</v>
      </c>
      <c r="L1882">
        <v>191</v>
      </c>
    </row>
    <row r="1883" spans="1:12">
      <c r="A1883" s="183" t="s">
        <v>6197</v>
      </c>
      <c r="B1883" s="183" t="s">
        <v>6198</v>
      </c>
      <c r="C1883">
        <v>64001200</v>
      </c>
      <c r="D1883" s="501">
        <v>1517</v>
      </c>
      <c r="E1883">
        <v>0</v>
      </c>
      <c r="F1883">
        <v>0</v>
      </c>
      <c r="G1883">
        <v>0</v>
      </c>
      <c r="H1883" s="501">
        <v>1517</v>
      </c>
      <c r="I1883" s="183" t="s">
        <v>1062</v>
      </c>
      <c r="J1883" s="183" t="s">
        <v>12067</v>
      </c>
      <c r="K1883">
        <v>0</v>
      </c>
      <c r="L1883" s="501">
        <v>1517</v>
      </c>
    </row>
    <row r="1884" spans="1:12">
      <c r="A1884" s="183" t="s">
        <v>707</v>
      </c>
      <c r="B1884" s="183" t="s">
        <v>1150</v>
      </c>
      <c r="C1884">
        <v>64003203</v>
      </c>
      <c r="D1884">
        <v>245</v>
      </c>
      <c r="E1884">
        <v>0</v>
      </c>
      <c r="F1884">
        <v>0</v>
      </c>
      <c r="G1884">
        <v>0</v>
      </c>
      <c r="H1884">
        <v>245</v>
      </c>
      <c r="I1884" s="183" t="s">
        <v>1012</v>
      </c>
      <c r="J1884" s="183" t="s">
        <v>12093</v>
      </c>
      <c r="K1884">
        <v>0</v>
      </c>
      <c r="L1884">
        <v>245</v>
      </c>
    </row>
    <row r="1885" spans="1:12">
      <c r="A1885" s="183" t="s">
        <v>3202</v>
      </c>
      <c r="B1885" s="183" t="s">
        <v>3203</v>
      </c>
      <c r="C1885">
        <v>64003204</v>
      </c>
      <c r="D1885">
        <v>787</v>
      </c>
      <c r="E1885">
        <v>0</v>
      </c>
      <c r="F1885">
        <v>0</v>
      </c>
      <c r="G1885">
        <v>0</v>
      </c>
      <c r="H1885">
        <v>787</v>
      </c>
      <c r="I1885" s="183" t="s">
        <v>1012</v>
      </c>
      <c r="J1885" s="183" t="s">
        <v>12085</v>
      </c>
      <c r="K1885">
        <v>0</v>
      </c>
      <c r="L1885">
        <v>787</v>
      </c>
    </row>
    <row r="1886" spans="1:12">
      <c r="A1886" s="183" t="s">
        <v>6145</v>
      </c>
      <c r="B1886" s="183" t="s">
        <v>6146</v>
      </c>
      <c r="C1886">
        <v>64003214</v>
      </c>
      <c r="D1886">
        <v>757</v>
      </c>
      <c r="E1886">
        <v>0</v>
      </c>
      <c r="F1886">
        <v>1</v>
      </c>
      <c r="G1886">
        <v>0</v>
      </c>
      <c r="H1886">
        <v>758</v>
      </c>
      <c r="I1886" s="183" t="s">
        <v>1012</v>
      </c>
      <c r="J1886" s="183" t="s">
        <v>12048</v>
      </c>
      <c r="K1886">
        <v>0</v>
      </c>
      <c r="L1886">
        <v>757</v>
      </c>
    </row>
    <row r="1887" spans="1:12">
      <c r="A1887" s="183" t="s">
        <v>6088</v>
      </c>
      <c r="B1887" s="183" t="s">
        <v>6089</v>
      </c>
      <c r="C1887">
        <v>64003218</v>
      </c>
      <c r="D1887">
        <v>724</v>
      </c>
      <c r="E1887">
        <v>0</v>
      </c>
      <c r="F1887">
        <v>0</v>
      </c>
      <c r="G1887">
        <v>0</v>
      </c>
      <c r="H1887">
        <v>724</v>
      </c>
      <c r="I1887" s="183" t="s">
        <v>1012</v>
      </c>
      <c r="J1887" s="183" t="s">
        <v>12048</v>
      </c>
      <c r="K1887">
        <v>0</v>
      </c>
      <c r="L1887">
        <v>724</v>
      </c>
    </row>
    <row r="1888" spans="1:12">
      <c r="A1888" s="183" t="s">
        <v>4985</v>
      </c>
      <c r="B1888" s="183" t="s">
        <v>4986</v>
      </c>
      <c r="C1888">
        <v>64003221</v>
      </c>
      <c r="D1888">
        <v>512</v>
      </c>
      <c r="E1888">
        <v>0</v>
      </c>
      <c r="F1888">
        <v>0</v>
      </c>
      <c r="G1888">
        <v>0</v>
      </c>
      <c r="H1888">
        <v>512</v>
      </c>
      <c r="I1888" s="183" t="s">
        <v>1012</v>
      </c>
      <c r="J1888" s="183" t="s">
        <v>12053</v>
      </c>
      <c r="K1888">
        <v>0</v>
      </c>
      <c r="L1888">
        <v>512</v>
      </c>
    </row>
    <row r="1889" spans="1:12">
      <c r="A1889" s="183" t="s">
        <v>232</v>
      </c>
      <c r="B1889" s="183" t="s">
        <v>1156</v>
      </c>
      <c r="C1889">
        <v>64003223</v>
      </c>
      <c r="D1889">
        <v>399</v>
      </c>
      <c r="E1889">
        <v>0</v>
      </c>
      <c r="F1889">
        <v>0</v>
      </c>
      <c r="G1889">
        <v>0</v>
      </c>
      <c r="H1889">
        <v>399</v>
      </c>
      <c r="I1889" s="183" t="s">
        <v>1012</v>
      </c>
      <c r="J1889" s="183" t="s">
        <v>12094</v>
      </c>
      <c r="K1889">
        <v>0</v>
      </c>
      <c r="L1889">
        <v>399</v>
      </c>
    </row>
    <row r="1890" spans="1:12">
      <c r="A1890" s="183" t="s">
        <v>6090</v>
      </c>
      <c r="B1890" s="183" t="s">
        <v>6091</v>
      </c>
      <c r="C1890">
        <v>64003230</v>
      </c>
      <c r="D1890">
        <v>473</v>
      </c>
      <c r="E1890">
        <v>0</v>
      </c>
      <c r="F1890">
        <v>0</v>
      </c>
      <c r="G1890">
        <v>0</v>
      </c>
      <c r="H1890">
        <v>473</v>
      </c>
      <c r="I1890" s="183" t="s">
        <v>1012</v>
      </c>
      <c r="J1890" s="183" t="s">
        <v>12053</v>
      </c>
      <c r="K1890">
        <v>0</v>
      </c>
      <c r="L1890">
        <v>473</v>
      </c>
    </row>
    <row r="1891" spans="1:12">
      <c r="A1891" s="183" t="s">
        <v>3101</v>
      </c>
      <c r="B1891" s="183" t="s">
        <v>3102</v>
      </c>
      <c r="C1891">
        <v>11860212</v>
      </c>
      <c r="D1891">
        <v>166</v>
      </c>
      <c r="E1891">
        <v>0</v>
      </c>
      <c r="F1891">
        <v>0</v>
      </c>
      <c r="G1891">
        <v>0</v>
      </c>
      <c r="H1891">
        <v>166</v>
      </c>
      <c r="I1891" s="183" t="s">
        <v>1052</v>
      </c>
      <c r="J1891" s="183" t="s">
        <v>12094</v>
      </c>
      <c r="K1891">
        <v>0</v>
      </c>
      <c r="L1891">
        <v>166</v>
      </c>
    </row>
    <row r="1892" spans="1:12">
      <c r="A1892" s="183" t="s">
        <v>3112</v>
      </c>
      <c r="B1892" s="183" t="s">
        <v>3113</v>
      </c>
      <c r="C1892">
        <v>11860214</v>
      </c>
      <c r="D1892">
        <v>307</v>
      </c>
      <c r="E1892">
        <v>0</v>
      </c>
      <c r="F1892">
        <v>0</v>
      </c>
      <c r="G1892">
        <v>0</v>
      </c>
      <c r="H1892">
        <v>307</v>
      </c>
      <c r="I1892" s="183" t="s">
        <v>1052</v>
      </c>
      <c r="J1892" s="183" t="s">
        <v>12055</v>
      </c>
      <c r="K1892">
        <v>0</v>
      </c>
      <c r="L1892">
        <v>307</v>
      </c>
    </row>
    <row r="1893" spans="1:12">
      <c r="A1893" s="183" t="s">
        <v>5862</v>
      </c>
      <c r="B1893" s="183" t="s">
        <v>5863</v>
      </c>
      <c r="C1893">
        <v>11860220</v>
      </c>
      <c r="D1893">
        <v>232</v>
      </c>
      <c r="E1893">
        <v>0</v>
      </c>
      <c r="F1893">
        <v>0</v>
      </c>
      <c r="G1893">
        <v>0</v>
      </c>
      <c r="H1893">
        <v>232</v>
      </c>
      <c r="I1893" s="183" t="s">
        <v>1052</v>
      </c>
      <c r="J1893" s="183" t="s">
        <v>12094</v>
      </c>
      <c r="K1893">
        <v>0</v>
      </c>
      <c r="L1893">
        <v>232</v>
      </c>
    </row>
    <row r="1894" spans="1:12">
      <c r="A1894" s="183" t="s">
        <v>5864</v>
      </c>
      <c r="B1894" s="183" t="s">
        <v>5865</v>
      </c>
      <c r="C1894">
        <v>11860221</v>
      </c>
      <c r="D1894">
        <v>101</v>
      </c>
      <c r="E1894">
        <v>0</v>
      </c>
      <c r="F1894">
        <v>0</v>
      </c>
      <c r="G1894">
        <v>0</v>
      </c>
      <c r="H1894">
        <v>101</v>
      </c>
      <c r="I1894" s="183" t="s">
        <v>1052</v>
      </c>
      <c r="J1894" s="183" t="s">
        <v>12060</v>
      </c>
      <c r="K1894">
        <v>0</v>
      </c>
      <c r="L1894">
        <v>101</v>
      </c>
    </row>
    <row r="1895" spans="1:12">
      <c r="A1895" s="183" t="s">
        <v>3114</v>
      </c>
      <c r="B1895" s="183" t="s">
        <v>3115</v>
      </c>
      <c r="C1895">
        <v>11860232</v>
      </c>
      <c r="D1895">
        <v>93</v>
      </c>
      <c r="E1895">
        <v>0</v>
      </c>
      <c r="F1895">
        <v>0</v>
      </c>
      <c r="G1895">
        <v>0</v>
      </c>
      <c r="H1895">
        <v>93</v>
      </c>
      <c r="I1895" s="183" t="s">
        <v>1052</v>
      </c>
      <c r="J1895" s="183" t="s">
        <v>12053</v>
      </c>
      <c r="K1895">
        <v>0</v>
      </c>
      <c r="L1895">
        <v>93</v>
      </c>
    </row>
    <row r="1896" spans="1:12">
      <c r="A1896" s="183" t="s">
        <v>240</v>
      </c>
      <c r="B1896" s="183" t="s">
        <v>241</v>
      </c>
      <c r="C1896">
        <v>11860240</v>
      </c>
      <c r="D1896">
        <v>259</v>
      </c>
      <c r="E1896">
        <v>0</v>
      </c>
      <c r="F1896">
        <v>0</v>
      </c>
      <c r="G1896">
        <v>0</v>
      </c>
      <c r="H1896">
        <v>259</v>
      </c>
      <c r="I1896" s="183" t="s">
        <v>1052</v>
      </c>
      <c r="J1896" s="183" t="s">
        <v>12091</v>
      </c>
      <c r="K1896">
        <v>0</v>
      </c>
      <c r="L1896">
        <v>259</v>
      </c>
    </row>
    <row r="1897" spans="1:12">
      <c r="A1897" s="183" t="s">
        <v>267</v>
      </c>
      <c r="B1897" s="183" t="s">
        <v>268</v>
      </c>
      <c r="C1897">
        <v>2290209</v>
      </c>
      <c r="D1897">
        <v>114</v>
      </c>
      <c r="E1897">
        <v>0</v>
      </c>
      <c r="F1897">
        <v>0</v>
      </c>
      <c r="G1897">
        <v>0</v>
      </c>
      <c r="H1897">
        <v>114</v>
      </c>
      <c r="I1897" s="183" t="s">
        <v>1053</v>
      </c>
      <c r="J1897" s="183" t="s">
        <v>12052</v>
      </c>
      <c r="K1897">
        <v>0</v>
      </c>
      <c r="L1897">
        <v>114</v>
      </c>
    </row>
    <row r="1898" spans="1:12">
      <c r="A1898" s="183" t="s">
        <v>269</v>
      </c>
      <c r="B1898" s="183" t="s">
        <v>270</v>
      </c>
      <c r="C1898">
        <v>2290210</v>
      </c>
      <c r="D1898">
        <v>92</v>
      </c>
      <c r="E1898">
        <v>0</v>
      </c>
      <c r="F1898">
        <v>0</v>
      </c>
      <c r="G1898">
        <v>0</v>
      </c>
      <c r="H1898">
        <v>92</v>
      </c>
      <c r="I1898" s="183" t="s">
        <v>1053</v>
      </c>
      <c r="J1898" s="183" t="s">
        <v>12052</v>
      </c>
      <c r="K1898">
        <v>0</v>
      </c>
      <c r="L1898">
        <v>92</v>
      </c>
    </row>
    <row r="1899" spans="1:12">
      <c r="A1899" s="183" t="s">
        <v>275</v>
      </c>
      <c r="B1899" s="183" t="s">
        <v>276</v>
      </c>
      <c r="C1899">
        <v>2290217</v>
      </c>
      <c r="D1899">
        <v>13</v>
      </c>
      <c r="E1899">
        <v>0</v>
      </c>
      <c r="F1899">
        <v>0</v>
      </c>
      <c r="G1899">
        <v>0</v>
      </c>
      <c r="H1899">
        <v>13</v>
      </c>
      <c r="I1899" s="183" t="s">
        <v>1053</v>
      </c>
      <c r="J1899" s="183" t="s">
        <v>12056</v>
      </c>
      <c r="K1899">
        <v>0</v>
      </c>
      <c r="L1899">
        <v>13</v>
      </c>
    </row>
    <row r="1900" spans="1:12">
      <c r="A1900" s="183" t="s">
        <v>277</v>
      </c>
      <c r="B1900" s="183" t="s">
        <v>278</v>
      </c>
      <c r="C1900">
        <v>2290221</v>
      </c>
      <c r="D1900">
        <v>3</v>
      </c>
      <c r="E1900">
        <v>0</v>
      </c>
      <c r="F1900">
        <v>0</v>
      </c>
      <c r="G1900">
        <v>0</v>
      </c>
      <c r="H1900">
        <v>3</v>
      </c>
      <c r="I1900" s="183" t="s">
        <v>1053</v>
      </c>
      <c r="J1900" s="183" t="s">
        <v>12059</v>
      </c>
      <c r="K1900">
        <v>0</v>
      </c>
      <c r="L1900">
        <v>3</v>
      </c>
    </row>
    <row r="1901" spans="1:12">
      <c r="A1901" s="183" t="s">
        <v>1151</v>
      </c>
      <c r="B1901" s="183" t="s">
        <v>1152</v>
      </c>
      <c r="C1901">
        <v>63009203</v>
      </c>
      <c r="D1901">
        <v>347</v>
      </c>
      <c r="E1901">
        <v>0</v>
      </c>
      <c r="F1901">
        <v>0</v>
      </c>
      <c r="G1901">
        <v>0</v>
      </c>
      <c r="H1901">
        <v>347</v>
      </c>
      <c r="I1901" s="183" t="s">
        <v>1093</v>
      </c>
      <c r="J1901" s="183" t="s">
        <v>12050</v>
      </c>
      <c r="K1901">
        <v>0</v>
      </c>
      <c r="L1901">
        <v>347</v>
      </c>
    </row>
    <row r="1902" spans="1:12">
      <c r="A1902" s="183" t="s">
        <v>6100</v>
      </c>
      <c r="B1902" s="183" t="s">
        <v>6101</v>
      </c>
      <c r="C1902">
        <v>63009206</v>
      </c>
      <c r="D1902">
        <v>503</v>
      </c>
      <c r="E1902">
        <v>0</v>
      </c>
      <c r="F1902">
        <v>0</v>
      </c>
      <c r="G1902">
        <v>0</v>
      </c>
      <c r="H1902">
        <v>503</v>
      </c>
      <c r="I1902" s="183" t="s">
        <v>1093</v>
      </c>
      <c r="J1902" s="183" t="s">
        <v>12059</v>
      </c>
      <c r="K1902">
        <v>0</v>
      </c>
      <c r="L1902">
        <v>503</v>
      </c>
    </row>
    <row r="1903" spans="1:12">
      <c r="A1903" s="183" t="s">
        <v>290</v>
      </c>
      <c r="B1903" s="183" t="s">
        <v>1064</v>
      </c>
      <c r="C1903">
        <v>125180</v>
      </c>
      <c r="D1903">
        <v>331</v>
      </c>
      <c r="E1903">
        <v>0</v>
      </c>
      <c r="F1903">
        <v>2</v>
      </c>
      <c r="G1903">
        <v>0</v>
      </c>
      <c r="H1903">
        <v>333</v>
      </c>
      <c r="I1903" s="183" t="s">
        <v>1065</v>
      </c>
      <c r="J1903" s="183" t="s">
        <v>12059</v>
      </c>
      <c r="K1903">
        <v>0</v>
      </c>
      <c r="L1903">
        <v>331</v>
      </c>
    </row>
    <row r="1904" spans="1:12">
      <c r="A1904" s="183" t="s">
        <v>5177</v>
      </c>
      <c r="B1904" s="183" t="s">
        <v>1064</v>
      </c>
      <c r="C1904">
        <v>175180</v>
      </c>
      <c r="D1904">
        <v>135</v>
      </c>
      <c r="E1904">
        <v>0</v>
      </c>
      <c r="F1904">
        <v>0</v>
      </c>
      <c r="G1904">
        <v>0</v>
      </c>
      <c r="H1904">
        <v>135</v>
      </c>
      <c r="I1904" s="183" t="s">
        <v>1065</v>
      </c>
      <c r="J1904" s="183" t="s">
        <v>12081</v>
      </c>
      <c r="K1904">
        <v>0</v>
      </c>
      <c r="L1904">
        <v>135</v>
      </c>
    </row>
    <row r="1905" spans="1:12">
      <c r="A1905" s="183" t="s">
        <v>4657</v>
      </c>
      <c r="B1905" s="183" t="s">
        <v>1064</v>
      </c>
      <c r="C1905">
        <v>150125180</v>
      </c>
      <c r="D1905">
        <v>171</v>
      </c>
      <c r="E1905">
        <v>0</v>
      </c>
      <c r="F1905">
        <v>0</v>
      </c>
      <c r="G1905">
        <v>0</v>
      </c>
      <c r="H1905">
        <v>171</v>
      </c>
      <c r="I1905" s="183" t="s">
        <v>1065</v>
      </c>
      <c r="J1905" s="183" t="s">
        <v>12052</v>
      </c>
      <c r="K1905">
        <v>0</v>
      </c>
      <c r="L1905">
        <v>171</v>
      </c>
    </row>
    <row r="1906" spans="1:12">
      <c r="A1906" s="183" t="s">
        <v>4978</v>
      </c>
      <c r="B1906" s="183" t="s">
        <v>1064</v>
      </c>
      <c r="C1906">
        <v>175125180</v>
      </c>
      <c r="D1906">
        <v>263</v>
      </c>
      <c r="E1906">
        <v>0</v>
      </c>
      <c r="F1906">
        <v>0</v>
      </c>
      <c r="G1906">
        <v>0</v>
      </c>
      <c r="H1906">
        <v>263</v>
      </c>
      <c r="I1906" s="183" t="s">
        <v>1065</v>
      </c>
      <c r="J1906" s="183" t="s">
        <v>12067</v>
      </c>
      <c r="K1906">
        <v>0</v>
      </c>
      <c r="L1906">
        <v>263</v>
      </c>
    </row>
    <row r="1907" spans="1:12">
      <c r="A1907" s="183" t="s">
        <v>721</v>
      </c>
      <c r="B1907" s="183" t="s">
        <v>1064</v>
      </c>
      <c r="C1907">
        <v>175175180</v>
      </c>
      <c r="D1907">
        <v>220</v>
      </c>
      <c r="E1907">
        <v>0</v>
      </c>
      <c r="F1907">
        <v>0</v>
      </c>
      <c r="G1907">
        <v>0</v>
      </c>
      <c r="H1907">
        <v>220</v>
      </c>
      <c r="I1907" s="183" t="s">
        <v>1065</v>
      </c>
      <c r="J1907" s="183" t="s">
        <v>12091</v>
      </c>
      <c r="K1907">
        <v>0</v>
      </c>
      <c r="L1907">
        <v>220</v>
      </c>
    </row>
    <row r="1908" spans="1:12">
      <c r="A1908" s="183" t="s">
        <v>6323</v>
      </c>
      <c r="B1908" s="183" t="s">
        <v>1064</v>
      </c>
      <c r="C1908">
        <v>200075180</v>
      </c>
      <c r="D1908">
        <v>121</v>
      </c>
      <c r="E1908">
        <v>0</v>
      </c>
      <c r="F1908">
        <v>0</v>
      </c>
      <c r="G1908">
        <v>0</v>
      </c>
      <c r="H1908">
        <v>121</v>
      </c>
      <c r="I1908" s="183" t="s">
        <v>1065</v>
      </c>
      <c r="J1908" s="183" t="s">
        <v>12054</v>
      </c>
      <c r="K1908">
        <v>0</v>
      </c>
      <c r="L1908">
        <v>121</v>
      </c>
    </row>
    <row r="1909" spans="1:12">
      <c r="A1909" s="183" t="s">
        <v>4076</v>
      </c>
      <c r="B1909" s="183" t="s">
        <v>3978</v>
      </c>
      <c r="C1909">
        <v>8800268999823</v>
      </c>
      <c r="D1909">
        <v>31</v>
      </c>
      <c r="E1909">
        <v>0</v>
      </c>
      <c r="F1909">
        <v>0</v>
      </c>
      <c r="G1909">
        <v>0</v>
      </c>
      <c r="H1909">
        <v>31</v>
      </c>
      <c r="I1909" s="183" t="s">
        <v>3979</v>
      </c>
      <c r="J1909" s="183" t="s">
        <v>12087</v>
      </c>
      <c r="K1909">
        <v>0</v>
      </c>
      <c r="L1909">
        <v>31</v>
      </c>
    </row>
    <row r="1910" spans="1:12">
      <c r="A1910" s="183" t="s">
        <v>4287</v>
      </c>
      <c r="B1910" s="183" t="s">
        <v>3978</v>
      </c>
      <c r="C1910">
        <v>8800268999915</v>
      </c>
      <c r="D1910">
        <v>177</v>
      </c>
      <c r="E1910">
        <v>0</v>
      </c>
      <c r="F1910">
        <v>0</v>
      </c>
      <c r="G1910">
        <v>0</v>
      </c>
      <c r="H1910">
        <v>177</v>
      </c>
      <c r="I1910" s="183" t="s">
        <v>3979</v>
      </c>
      <c r="J1910" s="183" t="s">
        <v>12067</v>
      </c>
      <c r="K1910">
        <v>0</v>
      </c>
      <c r="L1910">
        <v>177</v>
      </c>
    </row>
    <row r="1911" spans="1:12">
      <c r="A1911" s="183" t="s">
        <v>4668</v>
      </c>
      <c r="B1911" s="183" t="s">
        <v>3978</v>
      </c>
      <c r="C1911">
        <v>8800268999939</v>
      </c>
      <c r="D1911">
        <v>20</v>
      </c>
      <c r="E1911">
        <v>0</v>
      </c>
      <c r="F1911">
        <v>0</v>
      </c>
      <c r="G1911">
        <v>0</v>
      </c>
      <c r="H1911">
        <v>20</v>
      </c>
      <c r="I1911" s="183" t="s">
        <v>3979</v>
      </c>
      <c r="J1911" s="183" t="s">
        <v>12087</v>
      </c>
      <c r="K1911">
        <v>0</v>
      </c>
      <c r="L1911">
        <v>20</v>
      </c>
    </row>
    <row r="1912" spans="1:12">
      <c r="A1912" s="183" t="s">
        <v>4483</v>
      </c>
      <c r="B1912" s="183" t="s">
        <v>3978</v>
      </c>
      <c r="C1912">
        <v>8800269000016</v>
      </c>
      <c r="D1912">
        <v>33</v>
      </c>
      <c r="E1912">
        <v>0</v>
      </c>
      <c r="F1912">
        <v>0</v>
      </c>
      <c r="G1912">
        <v>0</v>
      </c>
      <c r="H1912">
        <v>33</v>
      </c>
      <c r="I1912" s="183" t="s">
        <v>3979</v>
      </c>
      <c r="J1912" s="183" t="s">
        <v>12053</v>
      </c>
      <c r="K1912">
        <v>0</v>
      </c>
      <c r="L1912">
        <v>33</v>
      </c>
    </row>
    <row r="1913" spans="1:12">
      <c r="A1913" s="183" t="s">
        <v>4671</v>
      </c>
      <c r="B1913" s="183" t="s">
        <v>3978</v>
      </c>
      <c r="C1913">
        <v>8800269000146</v>
      </c>
      <c r="D1913">
        <v>31</v>
      </c>
      <c r="E1913">
        <v>0</v>
      </c>
      <c r="F1913">
        <v>0</v>
      </c>
      <c r="G1913">
        <v>0</v>
      </c>
      <c r="H1913">
        <v>31</v>
      </c>
      <c r="I1913" s="183" t="s">
        <v>3979</v>
      </c>
      <c r="J1913" s="183" t="s">
        <v>12067</v>
      </c>
      <c r="K1913">
        <v>0</v>
      </c>
      <c r="L1913">
        <v>31</v>
      </c>
    </row>
    <row r="1914" spans="1:12">
      <c r="A1914" s="183" t="s">
        <v>3992</v>
      </c>
      <c r="B1914" s="183" t="s">
        <v>3978</v>
      </c>
      <c r="C1914">
        <v>8800269000153</v>
      </c>
      <c r="D1914">
        <v>148</v>
      </c>
      <c r="E1914">
        <v>0</v>
      </c>
      <c r="F1914">
        <v>0</v>
      </c>
      <c r="G1914">
        <v>0</v>
      </c>
      <c r="H1914">
        <v>148</v>
      </c>
      <c r="I1914" s="183" t="s">
        <v>3979</v>
      </c>
      <c r="J1914" s="183" t="s">
        <v>12091</v>
      </c>
      <c r="K1914">
        <v>0</v>
      </c>
      <c r="L1914">
        <v>148</v>
      </c>
    </row>
    <row r="1915" spans="1:12">
      <c r="A1915" s="183" t="s">
        <v>4479</v>
      </c>
      <c r="B1915" s="183" t="s">
        <v>3978</v>
      </c>
      <c r="C1915">
        <v>8800269000184</v>
      </c>
      <c r="D1915">
        <v>47</v>
      </c>
      <c r="E1915">
        <v>0</v>
      </c>
      <c r="F1915">
        <v>0</v>
      </c>
      <c r="G1915">
        <v>0</v>
      </c>
      <c r="H1915">
        <v>47</v>
      </c>
      <c r="I1915" s="183" t="s">
        <v>3979</v>
      </c>
      <c r="J1915" s="183" t="s">
        <v>12091</v>
      </c>
      <c r="K1915">
        <v>0</v>
      </c>
      <c r="L1915">
        <v>47</v>
      </c>
    </row>
    <row r="1916" spans="1:12">
      <c r="A1916" s="183" t="s">
        <v>4637</v>
      </c>
      <c r="B1916" s="183" t="s">
        <v>3978</v>
      </c>
      <c r="C1916">
        <v>8800269000429</v>
      </c>
      <c r="D1916">
        <v>54</v>
      </c>
      <c r="E1916">
        <v>0</v>
      </c>
      <c r="F1916">
        <v>0</v>
      </c>
      <c r="G1916">
        <v>0</v>
      </c>
      <c r="H1916">
        <v>54</v>
      </c>
      <c r="I1916" s="183" t="s">
        <v>3979</v>
      </c>
      <c r="J1916" s="183" t="s">
        <v>12053</v>
      </c>
      <c r="K1916">
        <v>0</v>
      </c>
      <c r="L1916">
        <v>54</v>
      </c>
    </row>
    <row r="1917" spans="1:12">
      <c r="A1917" s="183" t="s">
        <v>4143</v>
      </c>
      <c r="B1917" s="183" t="s">
        <v>3978</v>
      </c>
      <c r="C1917">
        <v>8800269000467</v>
      </c>
      <c r="D1917">
        <v>39</v>
      </c>
      <c r="E1917">
        <v>0</v>
      </c>
      <c r="F1917">
        <v>0</v>
      </c>
      <c r="G1917">
        <v>0</v>
      </c>
      <c r="H1917">
        <v>39</v>
      </c>
      <c r="I1917" s="183" t="s">
        <v>3979</v>
      </c>
      <c r="J1917" s="183" t="s">
        <v>12092</v>
      </c>
      <c r="K1917">
        <v>0</v>
      </c>
      <c r="L1917">
        <v>39</v>
      </c>
    </row>
    <row r="1918" spans="1:12">
      <c r="A1918" s="183" t="s">
        <v>4008</v>
      </c>
      <c r="B1918" s="183" t="s">
        <v>3978</v>
      </c>
      <c r="C1918">
        <v>8800269000689</v>
      </c>
      <c r="D1918">
        <v>35</v>
      </c>
      <c r="E1918">
        <v>0</v>
      </c>
      <c r="F1918">
        <v>0</v>
      </c>
      <c r="G1918">
        <v>0</v>
      </c>
      <c r="H1918">
        <v>35</v>
      </c>
      <c r="I1918" s="183" t="s">
        <v>3979</v>
      </c>
      <c r="J1918" s="183" t="s">
        <v>12091</v>
      </c>
      <c r="K1918">
        <v>0</v>
      </c>
      <c r="L1918">
        <v>35</v>
      </c>
    </row>
    <row r="1919" spans="1:12">
      <c r="A1919" s="183" t="s">
        <v>4154</v>
      </c>
      <c r="B1919" s="183" t="s">
        <v>3978</v>
      </c>
      <c r="C1919">
        <v>8800269000818</v>
      </c>
      <c r="D1919">
        <v>23</v>
      </c>
      <c r="E1919">
        <v>0</v>
      </c>
      <c r="F1919">
        <v>0</v>
      </c>
      <c r="G1919">
        <v>0</v>
      </c>
      <c r="H1919">
        <v>23</v>
      </c>
      <c r="I1919" s="183" t="s">
        <v>3979</v>
      </c>
      <c r="J1919" s="183" t="s">
        <v>12063</v>
      </c>
      <c r="K1919">
        <v>0</v>
      </c>
      <c r="L1919">
        <v>23</v>
      </c>
    </row>
    <row r="1920" spans="1:12">
      <c r="A1920" s="183" t="s">
        <v>4218</v>
      </c>
      <c r="B1920" s="183" t="s">
        <v>3978</v>
      </c>
      <c r="C1920">
        <v>8800269000856</v>
      </c>
      <c r="D1920">
        <v>37</v>
      </c>
      <c r="E1920">
        <v>0</v>
      </c>
      <c r="F1920">
        <v>0</v>
      </c>
      <c r="G1920">
        <v>0</v>
      </c>
      <c r="H1920">
        <v>37</v>
      </c>
      <c r="I1920" s="183" t="s">
        <v>3979</v>
      </c>
      <c r="J1920" s="183" t="s">
        <v>12093</v>
      </c>
      <c r="K1920">
        <v>0</v>
      </c>
      <c r="L1920">
        <v>37</v>
      </c>
    </row>
    <row r="1921" spans="1:12">
      <c r="A1921" s="183" t="s">
        <v>4288</v>
      </c>
      <c r="B1921" s="183" t="s">
        <v>3978</v>
      </c>
      <c r="C1921">
        <v>8800269000979</v>
      </c>
      <c r="D1921">
        <v>10</v>
      </c>
      <c r="E1921">
        <v>0</v>
      </c>
      <c r="F1921">
        <v>0</v>
      </c>
      <c r="G1921">
        <v>0</v>
      </c>
      <c r="H1921">
        <v>10</v>
      </c>
      <c r="I1921" s="183" t="s">
        <v>3979</v>
      </c>
      <c r="J1921" s="183" t="s">
        <v>12094</v>
      </c>
      <c r="K1921">
        <v>0</v>
      </c>
      <c r="L1921">
        <v>10</v>
      </c>
    </row>
    <row r="1922" spans="1:12">
      <c r="A1922" s="183" t="s">
        <v>4180</v>
      </c>
      <c r="B1922" s="183" t="s">
        <v>3978</v>
      </c>
      <c r="C1922">
        <v>8800269001211</v>
      </c>
      <c r="D1922">
        <v>113</v>
      </c>
      <c r="E1922">
        <v>0</v>
      </c>
      <c r="F1922">
        <v>0</v>
      </c>
      <c r="G1922">
        <v>0</v>
      </c>
      <c r="H1922">
        <v>113</v>
      </c>
      <c r="I1922" s="183" t="s">
        <v>3979</v>
      </c>
      <c r="J1922" s="183" t="s">
        <v>12091</v>
      </c>
      <c r="K1922">
        <v>0</v>
      </c>
      <c r="L1922">
        <v>113</v>
      </c>
    </row>
    <row r="1923" spans="1:12">
      <c r="A1923" s="183" t="s">
        <v>4053</v>
      </c>
      <c r="B1923" s="183" t="s">
        <v>3978</v>
      </c>
      <c r="C1923">
        <v>8800269001334</v>
      </c>
      <c r="D1923">
        <v>89</v>
      </c>
      <c r="E1923">
        <v>0</v>
      </c>
      <c r="F1923">
        <v>0</v>
      </c>
      <c r="G1923">
        <v>0</v>
      </c>
      <c r="H1923">
        <v>89</v>
      </c>
      <c r="I1923" s="183" t="s">
        <v>3979</v>
      </c>
      <c r="J1923" s="183" t="s">
        <v>12093</v>
      </c>
      <c r="K1923">
        <v>0</v>
      </c>
      <c r="L1923">
        <v>89</v>
      </c>
    </row>
    <row r="1924" spans="1:12">
      <c r="A1924" s="183" t="s">
        <v>3999</v>
      </c>
      <c r="B1924" s="183" t="s">
        <v>3978</v>
      </c>
      <c r="C1924">
        <v>8800269001389</v>
      </c>
      <c r="D1924">
        <v>106</v>
      </c>
      <c r="E1924">
        <v>0</v>
      </c>
      <c r="F1924">
        <v>0</v>
      </c>
      <c r="G1924">
        <v>0</v>
      </c>
      <c r="H1924">
        <v>106</v>
      </c>
      <c r="I1924" s="183" t="s">
        <v>3979</v>
      </c>
      <c r="J1924" s="183" t="s">
        <v>12092</v>
      </c>
      <c r="K1924">
        <v>0</v>
      </c>
      <c r="L1924">
        <v>106</v>
      </c>
    </row>
    <row r="1925" spans="1:12">
      <c r="A1925" s="183" t="s">
        <v>4484</v>
      </c>
      <c r="B1925" s="183" t="s">
        <v>3978</v>
      </c>
      <c r="C1925">
        <v>8800269001471</v>
      </c>
      <c r="D1925">
        <v>69</v>
      </c>
      <c r="E1925">
        <v>0</v>
      </c>
      <c r="F1925">
        <v>0</v>
      </c>
      <c r="G1925">
        <v>0</v>
      </c>
      <c r="H1925">
        <v>69</v>
      </c>
      <c r="I1925" s="183" t="s">
        <v>3979</v>
      </c>
      <c r="J1925" s="183" t="s">
        <v>12094</v>
      </c>
      <c r="K1925">
        <v>0</v>
      </c>
      <c r="L1925">
        <v>69</v>
      </c>
    </row>
    <row r="1926" spans="1:12">
      <c r="A1926" s="183" t="s">
        <v>4065</v>
      </c>
      <c r="B1926" s="183" t="s">
        <v>3978</v>
      </c>
      <c r="C1926">
        <v>8800269001563</v>
      </c>
      <c r="D1926">
        <v>20</v>
      </c>
      <c r="E1926">
        <v>0</v>
      </c>
      <c r="F1926">
        <v>0</v>
      </c>
      <c r="G1926">
        <v>0</v>
      </c>
      <c r="H1926">
        <v>20</v>
      </c>
      <c r="I1926" s="183" t="s">
        <v>3979</v>
      </c>
      <c r="J1926" s="183" t="s">
        <v>12093</v>
      </c>
      <c r="K1926">
        <v>0</v>
      </c>
      <c r="L1926">
        <v>20</v>
      </c>
    </row>
    <row r="1927" spans="1:12">
      <c r="A1927" s="183" t="s">
        <v>4638</v>
      </c>
      <c r="B1927" s="183" t="s">
        <v>3978</v>
      </c>
      <c r="C1927">
        <v>8800269001570</v>
      </c>
      <c r="D1927">
        <v>108</v>
      </c>
      <c r="E1927">
        <v>0</v>
      </c>
      <c r="F1927">
        <v>0</v>
      </c>
      <c r="G1927">
        <v>0</v>
      </c>
      <c r="H1927">
        <v>108</v>
      </c>
      <c r="I1927" s="183" t="s">
        <v>3979</v>
      </c>
      <c r="J1927" s="183" t="s">
        <v>12087</v>
      </c>
      <c r="K1927">
        <v>0</v>
      </c>
      <c r="L1927">
        <v>108</v>
      </c>
    </row>
    <row r="1928" spans="1:12">
      <c r="A1928" s="183" t="s">
        <v>4219</v>
      </c>
      <c r="B1928" s="183" t="s">
        <v>3978</v>
      </c>
      <c r="C1928">
        <v>8800269001617</v>
      </c>
      <c r="D1928">
        <v>60</v>
      </c>
      <c r="E1928">
        <v>0</v>
      </c>
      <c r="F1928">
        <v>0</v>
      </c>
      <c r="G1928">
        <v>0</v>
      </c>
      <c r="H1928">
        <v>60</v>
      </c>
      <c r="I1928" s="183" t="s">
        <v>3979</v>
      </c>
      <c r="J1928" s="183" t="s">
        <v>12067</v>
      </c>
      <c r="K1928">
        <v>0</v>
      </c>
      <c r="L1928">
        <v>60</v>
      </c>
    </row>
    <row r="1929" spans="1:12">
      <c r="A1929" s="183" t="s">
        <v>4639</v>
      </c>
      <c r="B1929" s="183" t="s">
        <v>3978</v>
      </c>
      <c r="C1929">
        <v>8800269001686</v>
      </c>
      <c r="D1929">
        <v>39</v>
      </c>
      <c r="E1929">
        <v>0</v>
      </c>
      <c r="F1929">
        <v>0</v>
      </c>
      <c r="G1929">
        <v>0</v>
      </c>
      <c r="H1929">
        <v>39</v>
      </c>
      <c r="I1929" s="183" t="s">
        <v>3979</v>
      </c>
      <c r="J1929" s="183" t="s">
        <v>12091</v>
      </c>
      <c r="K1929">
        <v>0</v>
      </c>
      <c r="L1929">
        <v>39</v>
      </c>
    </row>
    <row r="1930" spans="1:12">
      <c r="A1930" s="183" t="s">
        <v>2291</v>
      </c>
      <c r="B1930" s="183" t="s">
        <v>1499</v>
      </c>
      <c r="C1930">
        <v>65100202</v>
      </c>
      <c r="D1930">
        <v>118</v>
      </c>
      <c r="E1930">
        <v>0</v>
      </c>
      <c r="F1930">
        <v>0</v>
      </c>
      <c r="G1930">
        <v>0</v>
      </c>
      <c r="H1930">
        <v>118</v>
      </c>
      <c r="I1930" s="183" t="s">
        <v>1369</v>
      </c>
      <c r="J1930" s="183" t="s">
        <v>12056</v>
      </c>
      <c r="K1930">
        <v>0</v>
      </c>
      <c r="L1930">
        <v>118</v>
      </c>
    </row>
    <row r="1931" spans="1:12">
      <c r="A1931" s="183" t="s">
        <v>1626</v>
      </c>
      <c r="B1931" s="183" t="s">
        <v>1561</v>
      </c>
      <c r="C1931">
        <v>65100230</v>
      </c>
      <c r="D1931">
        <v>79</v>
      </c>
      <c r="E1931">
        <v>0</v>
      </c>
      <c r="F1931">
        <v>0</v>
      </c>
      <c r="G1931">
        <v>0</v>
      </c>
      <c r="H1931">
        <v>79</v>
      </c>
      <c r="I1931" s="183" t="s">
        <v>1369</v>
      </c>
      <c r="J1931" s="183" t="s">
        <v>12093</v>
      </c>
      <c r="K1931">
        <v>0</v>
      </c>
      <c r="L1931">
        <v>79</v>
      </c>
    </row>
    <row r="1932" spans="1:12">
      <c r="A1932" s="183" t="s">
        <v>4739</v>
      </c>
      <c r="B1932" s="183" t="s">
        <v>4718</v>
      </c>
      <c r="C1932">
        <v>8800308225820</v>
      </c>
      <c r="D1932">
        <v>172</v>
      </c>
      <c r="E1932">
        <v>0</v>
      </c>
      <c r="F1932">
        <v>0</v>
      </c>
      <c r="G1932">
        <v>0</v>
      </c>
      <c r="H1932">
        <v>172</v>
      </c>
      <c r="I1932" s="183" t="s">
        <v>4719</v>
      </c>
      <c r="J1932" s="183" t="s">
        <v>12081</v>
      </c>
      <c r="K1932">
        <v>0</v>
      </c>
      <c r="L1932">
        <v>172</v>
      </c>
    </row>
    <row r="1933" spans="1:12">
      <c r="A1933" s="183" t="s">
        <v>4740</v>
      </c>
      <c r="B1933" s="183" t="s">
        <v>4718</v>
      </c>
      <c r="C1933">
        <v>8800308225851</v>
      </c>
      <c r="D1933">
        <v>108</v>
      </c>
      <c r="E1933">
        <v>0</v>
      </c>
      <c r="F1933">
        <v>0</v>
      </c>
      <c r="G1933">
        <v>0</v>
      </c>
      <c r="H1933">
        <v>108</v>
      </c>
      <c r="I1933" s="183" t="s">
        <v>4719</v>
      </c>
      <c r="J1933" s="183" t="s">
        <v>12060</v>
      </c>
      <c r="K1933">
        <v>0</v>
      </c>
      <c r="L1933">
        <v>108</v>
      </c>
    </row>
    <row r="1934" spans="1:12">
      <c r="A1934" s="183" t="s">
        <v>4884</v>
      </c>
      <c r="B1934" s="183" t="s">
        <v>4718</v>
      </c>
      <c r="C1934">
        <v>8800308225950</v>
      </c>
      <c r="D1934">
        <v>213</v>
      </c>
      <c r="E1934">
        <v>0</v>
      </c>
      <c r="F1934">
        <v>0</v>
      </c>
      <c r="G1934">
        <v>0</v>
      </c>
      <c r="H1934">
        <v>213</v>
      </c>
      <c r="I1934" s="183" t="s">
        <v>4719</v>
      </c>
      <c r="J1934" s="183" t="s">
        <v>12063</v>
      </c>
      <c r="K1934">
        <v>0</v>
      </c>
      <c r="L1934">
        <v>213</v>
      </c>
    </row>
    <row r="1935" spans="1:12">
      <c r="A1935" s="183" t="s">
        <v>4698</v>
      </c>
      <c r="B1935" s="183" t="s">
        <v>4673</v>
      </c>
      <c r="C1935">
        <v>8800308226087</v>
      </c>
      <c r="D1935">
        <v>129</v>
      </c>
      <c r="E1935">
        <v>0</v>
      </c>
      <c r="F1935">
        <v>0</v>
      </c>
      <c r="G1935">
        <v>0</v>
      </c>
      <c r="H1935">
        <v>129</v>
      </c>
      <c r="I1935" s="183" t="s">
        <v>4674</v>
      </c>
      <c r="J1935" s="183" t="s">
        <v>12094</v>
      </c>
      <c r="K1935">
        <v>0</v>
      </c>
      <c r="L1935">
        <v>129</v>
      </c>
    </row>
    <row r="1936" spans="1:12">
      <c r="A1936" s="183" t="s">
        <v>4699</v>
      </c>
      <c r="B1936" s="183" t="s">
        <v>4673</v>
      </c>
      <c r="C1936">
        <v>8800308226094</v>
      </c>
      <c r="D1936">
        <v>158</v>
      </c>
      <c r="E1936">
        <v>0</v>
      </c>
      <c r="F1936">
        <v>0</v>
      </c>
      <c r="G1936">
        <v>0</v>
      </c>
      <c r="H1936">
        <v>158</v>
      </c>
      <c r="I1936" s="183" t="s">
        <v>4674</v>
      </c>
      <c r="J1936" s="183" t="s">
        <v>12087</v>
      </c>
      <c r="K1936">
        <v>0</v>
      </c>
      <c r="L1936">
        <v>158</v>
      </c>
    </row>
    <row r="1937" spans="1:12">
      <c r="A1937" s="183" t="s">
        <v>4700</v>
      </c>
      <c r="B1937" s="183" t="s">
        <v>4673</v>
      </c>
      <c r="C1937">
        <v>8800308226148</v>
      </c>
      <c r="D1937">
        <v>149</v>
      </c>
      <c r="E1937">
        <v>0</v>
      </c>
      <c r="F1937">
        <v>0</v>
      </c>
      <c r="G1937">
        <v>0</v>
      </c>
      <c r="H1937">
        <v>149</v>
      </c>
      <c r="I1937" s="183" t="s">
        <v>4674</v>
      </c>
      <c r="J1937" s="183" t="s">
        <v>12093</v>
      </c>
      <c r="K1937">
        <v>0</v>
      </c>
      <c r="L1937">
        <v>149</v>
      </c>
    </row>
    <row r="1938" spans="1:12">
      <c r="A1938" s="183" t="s">
        <v>4701</v>
      </c>
      <c r="B1938" s="183" t="s">
        <v>4673</v>
      </c>
      <c r="C1938">
        <v>8800308226162</v>
      </c>
      <c r="D1938">
        <v>325</v>
      </c>
      <c r="E1938">
        <v>0</v>
      </c>
      <c r="F1938">
        <v>0</v>
      </c>
      <c r="G1938">
        <v>0</v>
      </c>
      <c r="H1938">
        <v>325</v>
      </c>
      <c r="I1938" s="183" t="s">
        <v>4674</v>
      </c>
      <c r="J1938" s="183" t="s">
        <v>12066</v>
      </c>
      <c r="K1938">
        <v>0</v>
      </c>
      <c r="L1938">
        <v>325</v>
      </c>
    </row>
    <row r="1939" spans="1:12">
      <c r="A1939" s="183" t="s">
        <v>4702</v>
      </c>
      <c r="B1939" s="183" t="s">
        <v>4673</v>
      </c>
      <c r="C1939">
        <v>8800308226179</v>
      </c>
      <c r="D1939">
        <v>156</v>
      </c>
      <c r="E1939">
        <v>0</v>
      </c>
      <c r="F1939">
        <v>0</v>
      </c>
      <c r="G1939">
        <v>0</v>
      </c>
      <c r="H1939">
        <v>156</v>
      </c>
      <c r="I1939" s="183" t="s">
        <v>4674</v>
      </c>
      <c r="J1939" s="183" t="s">
        <v>12094</v>
      </c>
      <c r="K1939">
        <v>0</v>
      </c>
      <c r="L1939">
        <v>156</v>
      </c>
    </row>
    <row r="1940" spans="1:12">
      <c r="A1940" s="183" t="s">
        <v>4741</v>
      </c>
      <c r="B1940" s="183" t="s">
        <v>4685</v>
      </c>
      <c r="C1940">
        <v>8800308226254</v>
      </c>
      <c r="D1940">
        <v>139</v>
      </c>
      <c r="E1940">
        <v>0</v>
      </c>
      <c r="F1940">
        <v>0</v>
      </c>
      <c r="G1940">
        <v>0</v>
      </c>
      <c r="H1940">
        <v>139</v>
      </c>
      <c r="I1940" s="183" t="s">
        <v>4686</v>
      </c>
      <c r="J1940" s="183" t="s">
        <v>12087</v>
      </c>
      <c r="K1940">
        <v>0</v>
      </c>
      <c r="L1940">
        <v>139</v>
      </c>
    </row>
    <row r="1941" spans="1:12">
      <c r="A1941" s="183" t="s">
        <v>4742</v>
      </c>
      <c r="B1941" s="183" t="s">
        <v>4685</v>
      </c>
      <c r="C1941">
        <v>8800308226322</v>
      </c>
      <c r="D1941">
        <v>113</v>
      </c>
      <c r="E1941">
        <v>0</v>
      </c>
      <c r="F1941">
        <v>0</v>
      </c>
      <c r="G1941">
        <v>0</v>
      </c>
      <c r="H1941">
        <v>113</v>
      </c>
      <c r="I1941" s="183" t="s">
        <v>4686</v>
      </c>
      <c r="J1941" s="183" t="s">
        <v>12048</v>
      </c>
      <c r="K1941">
        <v>0</v>
      </c>
      <c r="L1941">
        <v>113</v>
      </c>
    </row>
    <row r="1942" spans="1:12">
      <c r="A1942" s="183" t="s">
        <v>3434</v>
      </c>
      <c r="B1942" s="183" t="s">
        <v>3435</v>
      </c>
      <c r="C1942">
        <v>64002202</v>
      </c>
      <c r="D1942">
        <v>494</v>
      </c>
      <c r="E1942">
        <v>0</v>
      </c>
      <c r="F1942">
        <v>0</v>
      </c>
      <c r="G1942">
        <v>0</v>
      </c>
      <c r="H1942">
        <v>494</v>
      </c>
      <c r="I1942" s="183" t="s">
        <v>984</v>
      </c>
      <c r="J1942" s="183" t="s">
        <v>12093</v>
      </c>
      <c r="K1942">
        <v>0</v>
      </c>
      <c r="L1942">
        <v>494</v>
      </c>
    </row>
    <row r="1943" spans="1:12">
      <c r="A1943" s="183" t="s">
        <v>6211</v>
      </c>
      <c r="B1943" s="183" t="s">
        <v>6212</v>
      </c>
      <c r="C1943">
        <v>64002204</v>
      </c>
      <c r="D1943">
        <v>201</v>
      </c>
      <c r="E1943">
        <v>0</v>
      </c>
      <c r="F1943">
        <v>0</v>
      </c>
      <c r="G1943">
        <v>0</v>
      </c>
      <c r="H1943">
        <v>201</v>
      </c>
      <c r="I1943" s="183" t="s">
        <v>984</v>
      </c>
      <c r="J1943" s="183" t="s">
        <v>12053</v>
      </c>
      <c r="K1943">
        <v>0</v>
      </c>
      <c r="L1943">
        <v>201</v>
      </c>
    </row>
    <row r="1944" spans="1:12">
      <c r="A1944" s="183" t="s">
        <v>6159</v>
      </c>
      <c r="B1944" s="183" t="s">
        <v>6160</v>
      </c>
      <c r="C1944">
        <v>64002206</v>
      </c>
      <c r="D1944">
        <v>243</v>
      </c>
      <c r="E1944">
        <v>0</v>
      </c>
      <c r="F1944">
        <v>0</v>
      </c>
      <c r="G1944">
        <v>0</v>
      </c>
      <c r="H1944">
        <v>243</v>
      </c>
      <c r="I1944" s="183" t="s">
        <v>984</v>
      </c>
      <c r="J1944" s="183" t="s">
        <v>12093</v>
      </c>
      <c r="K1944">
        <v>0</v>
      </c>
      <c r="L1944">
        <v>243</v>
      </c>
    </row>
    <row r="1945" spans="1:12">
      <c r="A1945" s="183" t="s">
        <v>156</v>
      </c>
      <c r="B1945" s="183" t="s">
        <v>1248</v>
      </c>
      <c r="C1945">
        <v>64002207</v>
      </c>
      <c r="D1945">
        <v>251</v>
      </c>
      <c r="E1945">
        <v>0</v>
      </c>
      <c r="F1945">
        <v>0</v>
      </c>
      <c r="G1945">
        <v>0</v>
      </c>
      <c r="H1945">
        <v>251</v>
      </c>
      <c r="I1945" s="183" t="s">
        <v>984</v>
      </c>
      <c r="J1945" s="183" t="s">
        <v>12081</v>
      </c>
      <c r="K1945">
        <v>0</v>
      </c>
      <c r="L1945">
        <v>251</v>
      </c>
    </row>
    <row r="1946" spans="1:12">
      <c r="A1946" s="183" t="s">
        <v>6161</v>
      </c>
      <c r="B1946" s="183" t="s">
        <v>6162</v>
      </c>
      <c r="C1946">
        <v>64002213</v>
      </c>
      <c r="D1946">
        <v>538</v>
      </c>
      <c r="E1946">
        <v>0</v>
      </c>
      <c r="F1946">
        <v>1</v>
      </c>
      <c r="G1946">
        <v>0</v>
      </c>
      <c r="H1946">
        <v>539</v>
      </c>
      <c r="I1946" s="183" t="s">
        <v>984</v>
      </c>
      <c r="J1946" s="183" t="s">
        <v>12087</v>
      </c>
      <c r="K1946">
        <v>0</v>
      </c>
      <c r="L1946">
        <v>538</v>
      </c>
    </row>
    <row r="1947" spans="1:12">
      <c r="A1947" s="183" t="s">
        <v>5770</v>
      </c>
      <c r="B1947" s="183" t="s">
        <v>5771</v>
      </c>
      <c r="C1947">
        <v>64002215</v>
      </c>
      <c r="D1947">
        <v>912</v>
      </c>
      <c r="E1947">
        <v>0</v>
      </c>
      <c r="F1947">
        <v>0</v>
      </c>
      <c r="G1947">
        <v>0</v>
      </c>
      <c r="H1947">
        <v>912</v>
      </c>
      <c r="I1947" s="183" t="s">
        <v>984</v>
      </c>
      <c r="J1947" s="183" t="s">
        <v>12067</v>
      </c>
      <c r="K1947">
        <v>0</v>
      </c>
      <c r="L1947">
        <v>912</v>
      </c>
    </row>
    <row r="1948" spans="1:12">
      <c r="A1948" s="183" t="s">
        <v>6286</v>
      </c>
      <c r="B1948" s="183" t="s">
        <v>6287</v>
      </c>
      <c r="C1948">
        <v>64002223</v>
      </c>
      <c r="D1948" s="501">
        <v>1161</v>
      </c>
      <c r="E1948">
        <v>0</v>
      </c>
      <c r="F1948">
        <v>0</v>
      </c>
      <c r="G1948">
        <v>0</v>
      </c>
      <c r="H1948" s="501">
        <v>1161</v>
      </c>
      <c r="I1948" s="183" t="s">
        <v>984</v>
      </c>
      <c r="J1948" s="183" t="s">
        <v>12093</v>
      </c>
      <c r="K1948">
        <v>0</v>
      </c>
      <c r="L1948" s="501">
        <v>1161</v>
      </c>
    </row>
    <row r="1949" spans="1:12">
      <c r="A1949" s="183" t="s">
        <v>6213</v>
      </c>
      <c r="B1949" s="183" t="s">
        <v>6214</v>
      </c>
      <c r="C1949">
        <v>64002226</v>
      </c>
      <c r="D1949">
        <v>848</v>
      </c>
      <c r="E1949">
        <v>0</v>
      </c>
      <c r="F1949">
        <v>0</v>
      </c>
      <c r="G1949">
        <v>0</v>
      </c>
      <c r="H1949">
        <v>848</v>
      </c>
      <c r="I1949" s="183" t="s">
        <v>984</v>
      </c>
      <c r="J1949" s="183" t="s">
        <v>12087</v>
      </c>
      <c r="K1949">
        <v>0</v>
      </c>
      <c r="L1949">
        <v>848</v>
      </c>
    </row>
    <row r="1950" spans="1:12">
      <c r="A1950" s="183" t="s">
        <v>757</v>
      </c>
      <c r="B1950" s="183" t="s">
        <v>1135</v>
      </c>
      <c r="C1950">
        <v>64002234</v>
      </c>
      <c r="D1950">
        <v>229</v>
      </c>
      <c r="E1950">
        <v>0</v>
      </c>
      <c r="F1950">
        <v>0</v>
      </c>
      <c r="G1950">
        <v>0</v>
      </c>
      <c r="H1950">
        <v>229</v>
      </c>
      <c r="I1950" s="183" t="s">
        <v>984</v>
      </c>
      <c r="J1950" s="183" t="s">
        <v>12048</v>
      </c>
      <c r="K1950">
        <v>0</v>
      </c>
      <c r="L1950">
        <v>229</v>
      </c>
    </row>
    <row r="1951" spans="1:12">
      <c r="A1951" s="183" t="s">
        <v>161</v>
      </c>
      <c r="B1951" s="183" t="s">
        <v>1299</v>
      </c>
      <c r="C1951">
        <v>61006205</v>
      </c>
      <c r="D1951">
        <v>235</v>
      </c>
      <c r="E1951">
        <v>0</v>
      </c>
      <c r="F1951">
        <v>0</v>
      </c>
      <c r="G1951">
        <v>0</v>
      </c>
      <c r="H1951">
        <v>235</v>
      </c>
      <c r="I1951" s="183" t="s">
        <v>1083</v>
      </c>
      <c r="J1951" s="183" t="s">
        <v>12050</v>
      </c>
      <c r="K1951">
        <v>0</v>
      </c>
      <c r="L1951">
        <v>235</v>
      </c>
    </row>
    <row r="1952" spans="1:12">
      <c r="A1952" s="183" t="s">
        <v>163</v>
      </c>
      <c r="B1952" s="183" t="s">
        <v>1299</v>
      </c>
      <c r="C1952">
        <v>61006207</v>
      </c>
      <c r="D1952">
        <v>529</v>
      </c>
      <c r="E1952">
        <v>0</v>
      </c>
      <c r="F1952">
        <v>0</v>
      </c>
      <c r="G1952">
        <v>0</v>
      </c>
      <c r="H1952">
        <v>529</v>
      </c>
      <c r="I1952" s="183" t="s">
        <v>1083</v>
      </c>
      <c r="J1952" s="183" t="s">
        <v>12066</v>
      </c>
      <c r="K1952">
        <v>0</v>
      </c>
      <c r="L1952">
        <v>529</v>
      </c>
    </row>
    <row r="1953" spans="1:12">
      <c r="A1953" s="183" t="s">
        <v>4230</v>
      </c>
      <c r="B1953" s="183" t="s">
        <v>3978</v>
      </c>
      <c r="C1953">
        <v>8800269001228</v>
      </c>
      <c r="D1953">
        <v>10</v>
      </c>
      <c r="E1953">
        <v>0</v>
      </c>
      <c r="F1953">
        <v>0</v>
      </c>
      <c r="G1953">
        <v>0</v>
      </c>
      <c r="H1953">
        <v>10</v>
      </c>
      <c r="I1953" s="183" t="s">
        <v>3979</v>
      </c>
      <c r="J1953" s="183" t="s">
        <v>12067</v>
      </c>
      <c r="K1953">
        <v>0</v>
      </c>
      <c r="L1953">
        <v>10</v>
      </c>
    </row>
    <row r="1954" spans="1:12">
      <c r="A1954" s="183" t="s">
        <v>3983</v>
      </c>
      <c r="B1954" s="183" t="s">
        <v>3978</v>
      </c>
      <c r="C1954">
        <v>8800269001280</v>
      </c>
      <c r="D1954">
        <v>44</v>
      </c>
      <c r="E1954">
        <v>0</v>
      </c>
      <c r="F1954">
        <v>0</v>
      </c>
      <c r="G1954">
        <v>0</v>
      </c>
      <c r="H1954">
        <v>44</v>
      </c>
      <c r="I1954" s="183" t="s">
        <v>3979</v>
      </c>
      <c r="J1954" s="183" t="s">
        <v>12091</v>
      </c>
      <c r="K1954">
        <v>0</v>
      </c>
      <c r="L1954">
        <v>44</v>
      </c>
    </row>
    <row r="1955" spans="1:12">
      <c r="A1955" s="183" t="s">
        <v>4231</v>
      </c>
      <c r="B1955" s="183" t="s">
        <v>3978</v>
      </c>
      <c r="C1955">
        <v>8800269001532</v>
      </c>
      <c r="D1955">
        <v>125</v>
      </c>
      <c r="E1955">
        <v>0</v>
      </c>
      <c r="F1955">
        <v>0</v>
      </c>
      <c r="G1955">
        <v>0</v>
      </c>
      <c r="H1955">
        <v>125</v>
      </c>
      <c r="I1955" s="183" t="s">
        <v>3979</v>
      </c>
      <c r="J1955" s="183" t="s">
        <v>12095</v>
      </c>
      <c r="K1955">
        <v>0</v>
      </c>
      <c r="L1955">
        <v>125</v>
      </c>
    </row>
    <row r="1956" spans="1:12">
      <c r="A1956" s="183" t="s">
        <v>4018</v>
      </c>
      <c r="B1956" s="183" t="s">
        <v>3978</v>
      </c>
      <c r="C1956">
        <v>8800269001549</v>
      </c>
      <c r="D1956">
        <v>14</v>
      </c>
      <c r="E1956">
        <v>0</v>
      </c>
      <c r="F1956">
        <v>0</v>
      </c>
      <c r="G1956">
        <v>0</v>
      </c>
      <c r="H1956">
        <v>14</v>
      </c>
      <c r="I1956" s="183" t="s">
        <v>3979</v>
      </c>
      <c r="J1956" s="183" t="s">
        <v>12094</v>
      </c>
      <c r="K1956">
        <v>0</v>
      </c>
      <c r="L1956">
        <v>14</v>
      </c>
    </row>
    <row r="1957" spans="1:12">
      <c r="A1957" s="183" t="s">
        <v>4040</v>
      </c>
      <c r="B1957" s="183" t="s">
        <v>3978</v>
      </c>
      <c r="C1957">
        <v>8800269001556</v>
      </c>
      <c r="D1957">
        <v>68</v>
      </c>
      <c r="E1957">
        <v>0</v>
      </c>
      <c r="F1957">
        <v>0</v>
      </c>
      <c r="G1957">
        <v>0</v>
      </c>
      <c r="H1957">
        <v>68</v>
      </c>
      <c r="I1957" s="183" t="s">
        <v>3979</v>
      </c>
      <c r="J1957" s="183" t="s">
        <v>12093</v>
      </c>
      <c r="K1957">
        <v>0</v>
      </c>
      <c r="L1957">
        <v>68</v>
      </c>
    </row>
    <row r="1958" spans="1:12">
      <c r="A1958" s="183" t="s">
        <v>4029</v>
      </c>
      <c r="B1958" s="183" t="s">
        <v>3978</v>
      </c>
      <c r="C1958">
        <v>8800269001587</v>
      </c>
      <c r="D1958">
        <v>47</v>
      </c>
      <c r="E1958">
        <v>0</v>
      </c>
      <c r="F1958">
        <v>0</v>
      </c>
      <c r="G1958">
        <v>0</v>
      </c>
      <c r="H1958">
        <v>47</v>
      </c>
      <c r="I1958" s="183" t="s">
        <v>3979</v>
      </c>
      <c r="J1958" s="183" t="s">
        <v>12092</v>
      </c>
      <c r="K1958">
        <v>0</v>
      </c>
      <c r="L1958">
        <v>47</v>
      </c>
    </row>
    <row r="1959" spans="1:12">
      <c r="A1959" s="183" t="s">
        <v>3997</v>
      </c>
      <c r="B1959" s="183" t="s">
        <v>3978</v>
      </c>
      <c r="C1959">
        <v>8800269001938</v>
      </c>
      <c r="D1959">
        <v>14</v>
      </c>
      <c r="E1959">
        <v>0</v>
      </c>
      <c r="F1959">
        <v>0</v>
      </c>
      <c r="G1959">
        <v>0</v>
      </c>
      <c r="H1959">
        <v>14</v>
      </c>
      <c r="I1959" s="183" t="s">
        <v>3979</v>
      </c>
      <c r="J1959" s="183" t="s">
        <v>12095</v>
      </c>
      <c r="K1959">
        <v>0</v>
      </c>
      <c r="L1959">
        <v>14</v>
      </c>
    </row>
    <row r="1960" spans="1:12">
      <c r="A1960" s="183" t="s">
        <v>4092</v>
      </c>
      <c r="B1960" s="183" t="s">
        <v>3978</v>
      </c>
      <c r="C1960">
        <v>8800269001983</v>
      </c>
      <c r="D1960">
        <v>28</v>
      </c>
      <c r="E1960">
        <v>0</v>
      </c>
      <c r="F1960">
        <v>0</v>
      </c>
      <c r="G1960">
        <v>0</v>
      </c>
      <c r="H1960">
        <v>28</v>
      </c>
      <c r="I1960" s="183" t="s">
        <v>3979</v>
      </c>
      <c r="J1960" s="183" t="s">
        <v>12081</v>
      </c>
      <c r="K1960">
        <v>0</v>
      </c>
      <c r="L1960">
        <v>28</v>
      </c>
    </row>
    <row r="1961" spans="1:12">
      <c r="A1961" s="183" t="s">
        <v>2647</v>
      </c>
      <c r="B1961" s="183" t="s">
        <v>2625</v>
      </c>
      <c r="C1961">
        <v>65100238</v>
      </c>
      <c r="D1961">
        <v>43</v>
      </c>
      <c r="E1961">
        <v>0</v>
      </c>
      <c r="F1961">
        <v>0</v>
      </c>
      <c r="G1961">
        <v>0</v>
      </c>
      <c r="H1961">
        <v>43</v>
      </c>
      <c r="I1961" s="183" t="s">
        <v>1369</v>
      </c>
      <c r="J1961" s="183" t="s">
        <v>12087</v>
      </c>
      <c r="K1961">
        <v>0</v>
      </c>
      <c r="L1961">
        <v>43</v>
      </c>
    </row>
    <row r="1962" spans="1:12">
      <c r="A1962" s="183" t="s">
        <v>4732</v>
      </c>
      <c r="B1962" s="183" t="s">
        <v>4718</v>
      </c>
      <c r="C1962">
        <v>8800308225790</v>
      </c>
      <c r="D1962">
        <v>199</v>
      </c>
      <c r="E1962">
        <v>0</v>
      </c>
      <c r="F1962">
        <v>0</v>
      </c>
      <c r="G1962">
        <v>0</v>
      </c>
      <c r="H1962">
        <v>199</v>
      </c>
      <c r="I1962" s="183" t="s">
        <v>4719</v>
      </c>
      <c r="J1962" s="183" t="s">
        <v>12067</v>
      </c>
      <c r="K1962">
        <v>0</v>
      </c>
      <c r="L1962">
        <v>199</v>
      </c>
    </row>
    <row r="1963" spans="1:12">
      <c r="A1963" s="183" t="s">
        <v>4733</v>
      </c>
      <c r="B1963" s="183" t="s">
        <v>4718</v>
      </c>
      <c r="C1963">
        <v>8800308225929</v>
      </c>
      <c r="D1963">
        <v>181</v>
      </c>
      <c r="E1963">
        <v>0</v>
      </c>
      <c r="F1963">
        <v>0</v>
      </c>
      <c r="G1963">
        <v>0</v>
      </c>
      <c r="H1963">
        <v>181</v>
      </c>
      <c r="I1963" s="183" t="s">
        <v>4719</v>
      </c>
      <c r="J1963" s="183" t="s">
        <v>12053</v>
      </c>
      <c r="K1963">
        <v>0</v>
      </c>
      <c r="L1963">
        <v>181</v>
      </c>
    </row>
    <row r="1964" spans="1:12">
      <c r="A1964" s="183" t="s">
        <v>4880</v>
      </c>
      <c r="B1964" s="183" t="s">
        <v>4718</v>
      </c>
      <c r="C1964">
        <v>8800308225943</v>
      </c>
      <c r="D1964">
        <v>187</v>
      </c>
      <c r="E1964">
        <v>0</v>
      </c>
      <c r="F1964">
        <v>0</v>
      </c>
      <c r="G1964">
        <v>0</v>
      </c>
      <c r="H1964">
        <v>187</v>
      </c>
      <c r="I1964" s="183" t="s">
        <v>4719</v>
      </c>
      <c r="J1964" s="183" t="s">
        <v>12048</v>
      </c>
      <c r="K1964">
        <v>0</v>
      </c>
      <c r="L1964">
        <v>187</v>
      </c>
    </row>
    <row r="1965" spans="1:12">
      <c r="A1965" s="183" t="s">
        <v>4683</v>
      </c>
      <c r="B1965" s="183" t="s">
        <v>4673</v>
      </c>
      <c r="C1965">
        <v>8800308226049</v>
      </c>
      <c r="D1965">
        <v>277</v>
      </c>
      <c r="E1965">
        <v>0</v>
      </c>
      <c r="F1965">
        <v>0</v>
      </c>
      <c r="G1965">
        <v>0</v>
      </c>
      <c r="H1965">
        <v>277</v>
      </c>
      <c r="I1965" s="183" t="s">
        <v>4674</v>
      </c>
      <c r="J1965" s="183" t="s">
        <v>12048</v>
      </c>
      <c r="K1965">
        <v>0</v>
      </c>
      <c r="L1965">
        <v>277</v>
      </c>
    </row>
    <row r="1966" spans="1:12">
      <c r="A1966" s="183" t="s">
        <v>4893</v>
      </c>
      <c r="B1966" s="183" t="s">
        <v>4673</v>
      </c>
      <c r="C1966">
        <v>8800308226193</v>
      </c>
      <c r="D1966">
        <v>192</v>
      </c>
      <c r="E1966">
        <v>0</v>
      </c>
      <c r="F1966">
        <v>0</v>
      </c>
      <c r="G1966">
        <v>0</v>
      </c>
      <c r="H1966">
        <v>192</v>
      </c>
      <c r="I1966" s="183" t="s">
        <v>4674</v>
      </c>
      <c r="J1966" s="183" t="s">
        <v>12087</v>
      </c>
      <c r="K1966">
        <v>0</v>
      </c>
      <c r="L1966">
        <v>192</v>
      </c>
    </row>
    <row r="1967" spans="1:12">
      <c r="A1967" s="183" t="s">
        <v>4684</v>
      </c>
      <c r="B1967" s="183" t="s">
        <v>4685</v>
      </c>
      <c r="C1967">
        <v>8800308226285</v>
      </c>
      <c r="D1967">
        <v>122</v>
      </c>
      <c r="E1967">
        <v>0</v>
      </c>
      <c r="F1967">
        <v>0</v>
      </c>
      <c r="G1967">
        <v>0</v>
      </c>
      <c r="H1967">
        <v>122</v>
      </c>
      <c r="I1967" s="183" t="s">
        <v>4686</v>
      </c>
      <c r="J1967" s="183" t="s">
        <v>12048</v>
      </c>
      <c r="K1967">
        <v>0</v>
      </c>
      <c r="L1967">
        <v>122</v>
      </c>
    </row>
    <row r="1968" spans="1:12">
      <c r="A1968" s="183" t="s">
        <v>4743</v>
      </c>
      <c r="B1968" s="183" t="s">
        <v>4685</v>
      </c>
      <c r="C1968">
        <v>8800308226377</v>
      </c>
      <c r="D1968">
        <v>149</v>
      </c>
      <c r="E1968">
        <v>0</v>
      </c>
      <c r="F1968">
        <v>0</v>
      </c>
      <c r="G1968">
        <v>0</v>
      </c>
      <c r="H1968">
        <v>149</v>
      </c>
      <c r="I1968" s="183" t="s">
        <v>4686</v>
      </c>
      <c r="J1968" s="183" t="s">
        <v>12091</v>
      </c>
      <c r="K1968">
        <v>0</v>
      </c>
      <c r="L1968">
        <v>149</v>
      </c>
    </row>
    <row r="1969" spans="1:12">
      <c r="A1969" s="183" t="s">
        <v>4744</v>
      </c>
      <c r="B1969" s="183" t="s">
        <v>4685</v>
      </c>
      <c r="C1969">
        <v>8800308226421</v>
      </c>
      <c r="D1969">
        <v>447</v>
      </c>
      <c r="E1969">
        <v>0</v>
      </c>
      <c r="F1969">
        <v>0</v>
      </c>
      <c r="G1969">
        <v>0</v>
      </c>
      <c r="H1969">
        <v>447</v>
      </c>
      <c r="I1969" s="183" t="s">
        <v>4686</v>
      </c>
      <c r="J1969" s="183" t="s">
        <v>12091</v>
      </c>
      <c r="K1969">
        <v>0</v>
      </c>
      <c r="L1969">
        <v>447</v>
      </c>
    </row>
    <row r="1970" spans="1:12">
      <c r="A1970" s="183" t="s">
        <v>4976</v>
      </c>
      <c r="B1970" s="183" t="s">
        <v>4685</v>
      </c>
      <c r="C1970">
        <v>8800308226469</v>
      </c>
      <c r="D1970">
        <v>444</v>
      </c>
      <c r="E1970">
        <v>0</v>
      </c>
      <c r="F1970">
        <v>0</v>
      </c>
      <c r="G1970">
        <v>0</v>
      </c>
      <c r="H1970">
        <v>444</v>
      </c>
      <c r="I1970" s="183" t="s">
        <v>4686</v>
      </c>
      <c r="J1970" s="183" t="s">
        <v>12050</v>
      </c>
      <c r="K1970">
        <v>0</v>
      </c>
      <c r="L1970">
        <v>444</v>
      </c>
    </row>
    <row r="1971" spans="1:12">
      <c r="A1971" s="183" t="s">
        <v>5036</v>
      </c>
      <c r="B1971" s="183" t="s">
        <v>4676</v>
      </c>
      <c r="C1971">
        <v>8800308226490</v>
      </c>
      <c r="D1971">
        <v>275</v>
      </c>
      <c r="E1971">
        <v>0</v>
      </c>
      <c r="F1971">
        <v>0</v>
      </c>
      <c r="G1971">
        <v>0</v>
      </c>
      <c r="H1971">
        <v>275</v>
      </c>
      <c r="I1971" s="183" t="s">
        <v>4677</v>
      </c>
      <c r="J1971" s="183" t="s">
        <v>12063</v>
      </c>
      <c r="K1971">
        <v>0</v>
      </c>
      <c r="L1971">
        <v>275</v>
      </c>
    </row>
    <row r="1972" spans="1:12">
      <c r="A1972" s="183" t="s">
        <v>4687</v>
      </c>
      <c r="B1972" s="183" t="s">
        <v>4676</v>
      </c>
      <c r="C1972">
        <v>8800308226582</v>
      </c>
      <c r="D1972">
        <v>186</v>
      </c>
      <c r="E1972">
        <v>0</v>
      </c>
      <c r="F1972">
        <v>0</v>
      </c>
      <c r="G1972">
        <v>0</v>
      </c>
      <c r="H1972">
        <v>186</v>
      </c>
      <c r="I1972" s="183" t="s">
        <v>4677</v>
      </c>
      <c r="J1972" s="183" t="s">
        <v>12087</v>
      </c>
      <c r="K1972">
        <v>0</v>
      </c>
      <c r="L1972">
        <v>186</v>
      </c>
    </row>
    <row r="1973" spans="1:12">
      <c r="A1973" s="183" t="s">
        <v>4688</v>
      </c>
      <c r="B1973" s="183" t="s">
        <v>4676</v>
      </c>
      <c r="C1973">
        <v>8800308226599</v>
      </c>
      <c r="D1973">
        <v>172</v>
      </c>
      <c r="E1973">
        <v>0</v>
      </c>
      <c r="F1973">
        <v>0</v>
      </c>
      <c r="G1973">
        <v>0</v>
      </c>
      <c r="H1973">
        <v>172</v>
      </c>
      <c r="I1973" s="183" t="s">
        <v>4677</v>
      </c>
      <c r="J1973" s="183" t="s">
        <v>12093</v>
      </c>
      <c r="K1973">
        <v>0</v>
      </c>
      <c r="L1973">
        <v>172</v>
      </c>
    </row>
    <row r="1974" spans="1:12">
      <c r="A1974" s="183" t="s">
        <v>6157</v>
      </c>
      <c r="B1974" s="183" t="s">
        <v>6158</v>
      </c>
      <c r="C1974">
        <v>64002212</v>
      </c>
      <c r="D1974">
        <v>613</v>
      </c>
      <c r="E1974">
        <v>0</v>
      </c>
      <c r="F1974">
        <v>0</v>
      </c>
      <c r="G1974">
        <v>0</v>
      </c>
      <c r="H1974">
        <v>613</v>
      </c>
      <c r="I1974" s="183" t="s">
        <v>984</v>
      </c>
      <c r="J1974" s="183" t="s">
        <v>12059</v>
      </c>
      <c r="K1974">
        <v>0</v>
      </c>
      <c r="L1974">
        <v>613</v>
      </c>
    </row>
    <row r="1975" spans="1:12">
      <c r="A1975" s="183" t="s">
        <v>5704</v>
      </c>
      <c r="B1975" s="183" t="s">
        <v>5705</v>
      </c>
      <c r="C1975">
        <v>64002217</v>
      </c>
      <c r="D1975" s="501">
        <v>1265</v>
      </c>
      <c r="E1975">
        <v>0</v>
      </c>
      <c r="F1975">
        <v>0</v>
      </c>
      <c r="G1975">
        <v>0</v>
      </c>
      <c r="H1975" s="501">
        <v>1265</v>
      </c>
      <c r="I1975" s="183" t="s">
        <v>984</v>
      </c>
      <c r="J1975" s="183" t="s">
        <v>12067</v>
      </c>
      <c r="K1975">
        <v>0</v>
      </c>
      <c r="L1975" s="501">
        <v>1265</v>
      </c>
    </row>
    <row r="1976" spans="1:12">
      <c r="A1976" s="183" t="s">
        <v>6083</v>
      </c>
      <c r="B1976" s="183" t="s">
        <v>6084</v>
      </c>
      <c r="C1976">
        <v>64002221</v>
      </c>
      <c r="D1976">
        <v>493</v>
      </c>
      <c r="E1976">
        <v>0</v>
      </c>
      <c r="F1976">
        <v>7</v>
      </c>
      <c r="G1976">
        <v>0</v>
      </c>
      <c r="H1976">
        <v>500</v>
      </c>
      <c r="I1976" s="183" t="s">
        <v>984</v>
      </c>
      <c r="J1976" s="183" t="s">
        <v>12048</v>
      </c>
      <c r="K1976">
        <v>0</v>
      </c>
      <c r="L1976">
        <v>493</v>
      </c>
    </row>
    <row r="1977" spans="1:12">
      <c r="A1977" s="183" t="s">
        <v>3796</v>
      </c>
      <c r="B1977" s="183" t="s">
        <v>3797</v>
      </c>
      <c r="C1977">
        <v>64002224</v>
      </c>
      <c r="D1977">
        <v>262</v>
      </c>
      <c r="E1977">
        <v>0</v>
      </c>
      <c r="F1977">
        <v>0</v>
      </c>
      <c r="G1977">
        <v>0</v>
      </c>
      <c r="H1977">
        <v>262</v>
      </c>
      <c r="I1977" s="183" t="s">
        <v>984</v>
      </c>
      <c r="J1977" s="183" t="s">
        <v>12092</v>
      </c>
      <c r="K1977">
        <v>0</v>
      </c>
      <c r="L1977">
        <v>262</v>
      </c>
    </row>
    <row r="1978" spans="1:12">
      <c r="A1978" s="183" t="s">
        <v>3440</v>
      </c>
      <c r="B1978" s="183" t="s">
        <v>3441</v>
      </c>
      <c r="C1978">
        <v>64002232</v>
      </c>
      <c r="D1978">
        <v>310</v>
      </c>
      <c r="E1978">
        <v>0</v>
      </c>
      <c r="F1978">
        <v>0</v>
      </c>
      <c r="G1978">
        <v>0</v>
      </c>
      <c r="H1978">
        <v>310</v>
      </c>
      <c r="I1978" s="183" t="s">
        <v>984</v>
      </c>
      <c r="J1978" s="183" t="s">
        <v>12094</v>
      </c>
      <c r="K1978">
        <v>0</v>
      </c>
      <c r="L1978">
        <v>310</v>
      </c>
    </row>
    <row r="1979" spans="1:12">
      <c r="A1979" s="183" t="s">
        <v>4931</v>
      </c>
      <c r="B1979" s="183" t="s">
        <v>1082</v>
      </c>
      <c r="C1979">
        <v>61006200</v>
      </c>
      <c r="D1979">
        <v>76</v>
      </c>
      <c r="E1979">
        <v>0</v>
      </c>
      <c r="F1979">
        <v>0</v>
      </c>
      <c r="G1979">
        <v>0</v>
      </c>
      <c r="H1979">
        <v>76</v>
      </c>
      <c r="I1979" s="183" t="s">
        <v>1083</v>
      </c>
      <c r="J1979" s="183" t="s">
        <v>12067</v>
      </c>
      <c r="K1979">
        <v>0</v>
      </c>
      <c r="L1979">
        <v>76</v>
      </c>
    </row>
    <row r="1980" spans="1:12">
      <c r="A1980" s="183" t="s">
        <v>167</v>
      </c>
      <c r="B1980" s="183" t="s">
        <v>1221</v>
      </c>
      <c r="C1980">
        <v>61006213</v>
      </c>
      <c r="D1980">
        <v>391</v>
      </c>
      <c r="E1980">
        <v>0</v>
      </c>
      <c r="F1980">
        <v>0</v>
      </c>
      <c r="G1980">
        <v>0</v>
      </c>
      <c r="H1980">
        <v>391</v>
      </c>
      <c r="I1980" s="183" t="s">
        <v>1083</v>
      </c>
      <c r="J1980" s="183" t="s">
        <v>12059</v>
      </c>
      <c r="K1980">
        <v>0</v>
      </c>
      <c r="L1980">
        <v>391</v>
      </c>
    </row>
    <row r="1981" spans="1:12">
      <c r="A1981" s="183" t="s">
        <v>176</v>
      </c>
      <c r="B1981" s="183" t="s">
        <v>1795</v>
      </c>
      <c r="C1981">
        <v>61006228</v>
      </c>
      <c r="D1981">
        <v>415</v>
      </c>
      <c r="E1981">
        <v>0</v>
      </c>
      <c r="F1981">
        <v>0</v>
      </c>
      <c r="G1981">
        <v>0</v>
      </c>
      <c r="H1981">
        <v>415</v>
      </c>
      <c r="I1981" s="183" t="s">
        <v>1083</v>
      </c>
      <c r="J1981" s="183" t="s">
        <v>12067</v>
      </c>
      <c r="K1981">
        <v>0</v>
      </c>
      <c r="L1981">
        <v>415</v>
      </c>
    </row>
    <row r="1982" spans="1:12">
      <c r="A1982" s="183" t="s">
        <v>2956</v>
      </c>
      <c r="B1982" s="183" t="s">
        <v>1737</v>
      </c>
      <c r="C1982">
        <v>61005208</v>
      </c>
      <c r="D1982">
        <v>267</v>
      </c>
      <c r="E1982">
        <v>0</v>
      </c>
      <c r="F1982">
        <v>2</v>
      </c>
      <c r="G1982">
        <v>0</v>
      </c>
      <c r="H1982">
        <v>269</v>
      </c>
      <c r="I1982" s="183" t="s">
        <v>1243</v>
      </c>
      <c r="J1982" s="183" t="s">
        <v>12091</v>
      </c>
      <c r="K1982">
        <v>0</v>
      </c>
      <c r="L1982">
        <v>267</v>
      </c>
    </row>
    <row r="1983" spans="1:12">
      <c r="A1983" s="183" t="s">
        <v>188</v>
      </c>
      <c r="B1983" s="183" t="s">
        <v>1547</v>
      </c>
      <c r="C1983">
        <v>61005212</v>
      </c>
      <c r="D1983">
        <v>282</v>
      </c>
      <c r="E1983">
        <v>0</v>
      </c>
      <c r="F1983">
        <v>0</v>
      </c>
      <c r="G1983">
        <v>0</v>
      </c>
      <c r="H1983">
        <v>282</v>
      </c>
      <c r="I1983" s="183" t="s">
        <v>1243</v>
      </c>
      <c r="J1983" s="183" t="s">
        <v>12092</v>
      </c>
      <c r="K1983">
        <v>0</v>
      </c>
      <c r="L1983">
        <v>282</v>
      </c>
    </row>
    <row r="1984" spans="1:12">
      <c r="A1984" s="183" t="s">
        <v>5891</v>
      </c>
      <c r="B1984" s="183" t="s">
        <v>1826</v>
      </c>
      <c r="C1984">
        <v>61005226</v>
      </c>
      <c r="D1984">
        <v>444</v>
      </c>
      <c r="E1984">
        <v>0</v>
      </c>
      <c r="F1984">
        <v>0</v>
      </c>
      <c r="G1984">
        <v>0</v>
      </c>
      <c r="H1984">
        <v>444</v>
      </c>
      <c r="I1984" s="183" t="s">
        <v>1243</v>
      </c>
      <c r="J1984" s="183" t="s">
        <v>12085</v>
      </c>
      <c r="K1984">
        <v>0</v>
      </c>
      <c r="L1984">
        <v>444</v>
      </c>
    </row>
    <row r="1985" spans="1:12">
      <c r="A1985" s="183" t="s">
        <v>5892</v>
      </c>
      <c r="B1985" s="183" t="s">
        <v>1956</v>
      </c>
      <c r="C1985">
        <v>61005234</v>
      </c>
      <c r="D1985">
        <v>576</v>
      </c>
      <c r="E1985">
        <v>0</v>
      </c>
      <c r="F1985">
        <v>0</v>
      </c>
      <c r="G1985">
        <v>0</v>
      </c>
      <c r="H1985">
        <v>576</v>
      </c>
      <c r="I1985" s="183" t="s">
        <v>1243</v>
      </c>
      <c r="J1985" s="183" t="s">
        <v>12095</v>
      </c>
      <c r="K1985">
        <v>0</v>
      </c>
      <c r="L1985">
        <v>576</v>
      </c>
    </row>
    <row r="1986" spans="1:12">
      <c r="A1986" s="183" t="s">
        <v>206</v>
      </c>
      <c r="B1986" s="183" t="s">
        <v>2113</v>
      </c>
      <c r="C1986">
        <v>61007204</v>
      </c>
      <c r="D1986">
        <v>353</v>
      </c>
      <c r="E1986">
        <v>0</v>
      </c>
      <c r="F1986">
        <v>0</v>
      </c>
      <c r="G1986">
        <v>0</v>
      </c>
      <c r="H1986">
        <v>353</v>
      </c>
      <c r="I1986" s="183" t="s">
        <v>1430</v>
      </c>
      <c r="J1986" s="183" t="s">
        <v>12061</v>
      </c>
      <c r="K1986">
        <v>0</v>
      </c>
      <c r="L1986">
        <v>353</v>
      </c>
    </row>
    <row r="1987" spans="1:12">
      <c r="A1987" s="183" t="s">
        <v>208</v>
      </c>
      <c r="B1987" s="183" t="s">
        <v>1765</v>
      </c>
      <c r="C1987">
        <v>61007207</v>
      </c>
      <c r="D1987">
        <v>264</v>
      </c>
      <c r="E1987">
        <v>0</v>
      </c>
      <c r="F1987">
        <v>10</v>
      </c>
      <c r="G1987">
        <v>0</v>
      </c>
      <c r="H1987">
        <v>274</v>
      </c>
      <c r="I1987" s="183" t="s">
        <v>1430</v>
      </c>
      <c r="J1987" s="183" t="s">
        <v>12057</v>
      </c>
      <c r="K1987">
        <v>0</v>
      </c>
      <c r="L1987">
        <v>264</v>
      </c>
    </row>
    <row r="1988" spans="1:12">
      <c r="A1988" s="183" t="s">
        <v>210</v>
      </c>
      <c r="B1988" s="183" t="s">
        <v>1608</v>
      </c>
      <c r="C1988">
        <v>61007211</v>
      </c>
      <c r="D1988">
        <v>355</v>
      </c>
      <c r="E1988">
        <v>0</v>
      </c>
      <c r="F1988">
        <v>3</v>
      </c>
      <c r="G1988">
        <v>0</v>
      </c>
      <c r="H1988">
        <v>358</v>
      </c>
      <c r="I1988" s="183" t="s">
        <v>1430</v>
      </c>
      <c r="J1988" s="183" t="s">
        <v>12055</v>
      </c>
      <c r="K1988">
        <v>0</v>
      </c>
      <c r="L1988">
        <v>355</v>
      </c>
    </row>
    <row r="1989" spans="1:12">
      <c r="A1989" s="183" t="s">
        <v>7248</v>
      </c>
      <c r="B1989" s="183" t="s">
        <v>7249</v>
      </c>
      <c r="C1989">
        <v>61007213</v>
      </c>
      <c r="D1989">
        <v>267</v>
      </c>
      <c r="E1989">
        <v>0</v>
      </c>
      <c r="F1989">
        <v>0</v>
      </c>
      <c r="G1989">
        <v>0</v>
      </c>
      <c r="H1989">
        <v>267</v>
      </c>
      <c r="I1989" s="183" t="s">
        <v>1430</v>
      </c>
      <c r="J1989" s="183" t="s">
        <v>12050</v>
      </c>
      <c r="K1989">
        <v>0</v>
      </c>
      <c r="L1989">
        <v>267</v>
      </c>
    </row>
    <row r="1990" spans="1:12">
      <c r="A1990" s="183" t="s">
        <v>211</v>
      </c>
      <c r="B1990" s="183" t="s">
        <v>1778</v>
      </c>
      <c r="C1990">
        <v>61007214</v>
      </c>
      <c r="D1990">
        <v>385</v>
      </c>
      <c r="E1990">
        <v>0</v>
      </c>
      <c r="F1990">
        <v>1</v>
      </c>
      <c r="G1990">
        <v>0</v>
      </c>
      <c r="H1990">
        <v>386</v>
      </c>
      <c r="I1990" s="183" t="s">
        <v>1430</v>
      </c>
      <c r="J1990" s="183" t="s">
        <v>12060</v>
      </c>
      <c r="K1990">
        <v>0</v>
      </c>
      <c r="L1990">
        <v>385</v>
      </c>
    </row>
    <row r="1991" spans="1:12">
      <c r="A1991" s="183" t="s">
        <v>6310</v>
      </c>
      <c r="B1991" s="183" t="s">
        <v>6311</v>
      </c>
      <c r="C1991">
        <v>61007218</v>
      </c>
      <c r="D1991">
        <v>337</v>
      </c>
      <c r="E1991">
        <v>0</v>
      </c>
      <c r="F1991">
        <v>0</v>
      </c>
      <c r="G1991">
        <v>0</v>
      </c>
      <c r="H1991">
        <v>337</v>
      </c>
      <c r="I1991" s="183" t="s">
        <v>1430</v>
      </c>
      <c r="J1991" s="183" t="s">
        <v>12056</v>
      </c>
      <c r="K1991">
        <v>0</v>
      </c>
      <c r="L1991">
        <v>337</v>
      </c>
    </row>
    <row r="1992" spans="1:12">
      <c r="A1992" s="183" t="s">
        <v>214</v>
      </c>
      <c r="B1992" s="183" t="s">
        <v>2406</v>
      </c>
      <c r="C1992">
        <v>61007219</v>
      </c>
      <c r="D1992">
        <v>373</v>
      </c>
      <c r="E1992">
        <v>0</v>
      </c>
      <c r="F1992">
        <v>1</v>
      </c>
      <c r="G1992">
        <v>0</v>
      </c>
      <c r="H1992">
        <v>374</v>
      </c>
      <c r="I1992" s="183" t="s">
        <v>1430</v>
      </c>
      <c r="J1992" s="183" t="s">
        <v>12060</v>
      </c>
      <c r="K1992">
        <v>0</v>
      </c>
      <c r="L1992">
        <v>373</v>
      </c>
    </row>
    <row r="1993" spans="1:12">
      <c r="A1993" s="183" t="s">
        <v>216</v>
      </c>
      <c r="B1993" s="183" t="s">
        <v>2417</v>
      </c>
      <c r="C1993">
        <v>61007221</v>
      </c>
      <c r="D1993">
        <v>511</v>
      </c>
      <c r="E1993">
        <v>0</v>
      </c>
      <c r="F1993">
        <v>0</v>
      </c>
      <c r="G1993">
        <v>0</v>
      </c>
      <c r="H1993">
        <v>511</v>
      </c>
      <c r="I1993" s="183" t="s">
        <v>1430</v>
      </c>
      <c r="J1993" s="183" t="s">
        <v>12057</v>
      </c>
      <c r="K1993">
        <v>0</v>
      </c>
      <c r="L1993">
        <v>511</v>
      </c>
    </row>
    <row r="1994" spans="1:12">
      <c r="A1994" s="183" t="s">
        <v>219</v>
      </c>
      <c r="B1994" s="183" t="s">
        <v>2407</v>
      </c>
      <c r="C1994">
        <v>61007224</v>
      </c>
      <c r="D1994">
        <v>482</v>
      </c>
      <c r="E1994">
        <v>0</v>
      </c>
      <c r="F1994">
        <v>3</v>
      </c>
      <c r="G1994">
        <v>0</v>
      </c>
      <c r="H1994">
        <v>485</v>
      </c>
      <c r="I1994" s="183" t="s">
        <v>1430</v>
      </c>
      <c r="J1994" s="183" t="s">
        <v>12052</v>
      </c>
      <c r="K1994">
        <v>0</v>
      </c>
      <c r="L1994">
        <v>482</v>
      </c>
    </row>
    <row r="1995" spans="1:12">
      <c r="A1995" s="183" t="s">
        <v>4941</v>
      </c>
      <c r="B1995" s="183" t="s">
        <v>4942</v>
      </c>
      <c r="C1995">
        <v>61007226</v>
      </c>
      <c r="D1995">
        <v>221</v>
      </c>
      <c r="E1995">
        <v>0</v>
      </c>
      <c r="F1995">
        <v>0</v>
      </c>
      <c r="G1995">
        <v>0</v>
      </c>
      <c r="H1995">
        <v>221</v>
      </c>
      <c r="I1995" s="183" t="s">
        <v>1430</v>
      </c>
      <c r="J1995" s="183" t="s">
        <v>12052</v>
      </c>
      <c r="K1995">
        <v>0</v>
      </c>
      <c r="L1995">
        <v>221</v>
      </c>
    </row>
    <row r="1996" spans="1:12">
      <c r="A1996" s="183" t="s">
        <v>1616</v>
      </c>
      <c r="B1996" s="183" t="s">
        <v>1617</v>
      </c>
      <c r="C1996">
        <v>61008207</v>
      </c>
      <c r="D1996">
        <v>226</v>
      </c>
      <c r="E1996">
        <v>0</v>
      </c>
      <c r="F1996">
        <v>0</v>
      </c>
      <c r="G1996">
        <v>0</v>
      </c>
      <c r="H1996">
        <v>226</v>
      </c>
      <c r="I1996" s="183" t="s">
        <v>1267</v>
      </c>
      <c r="J1996" s="183" t="s">
        <v>12053</v>
      </c>
      <c r="K1996">
        <v>0</v>
      </c>
      <c r="L1996">
        <v>226</v>
      </c>
    </row>
    <row r="1997" spans="1:12">
      <c r="A1997" s="183" t="s">
        <v>4908</v>
      </c>
      <c r="B1997" s="183" t="s">
        <v>4909</v>
      </c>
      <c r="C1997">
        <v>61008211</v>
      </c>
      <c r="D1997">
        <v>265</v>
      </c>
      <c r="E1997">
        <v>0</v>
      </c>
      <c r="F1997">
        <v>0</v>
      </c>
      <c r="G1997">
        <v>0</v>
      </c>
      <c r="H1997">
        <v>265</v>
      </c>
      <c r="I1997" s="183" t="s">
        <v>1267</v>
      </c>
      <c r="J1997" s="183" t="s">
        <v>12060</v>
      </c>
      <c r="K1997">
        <v>0</v>
      </c>
      <c r="L1997">
        <v>265</v>
      </c>
    </row>
    <row r="1998" spans="1:12">
      <c r="A1998" s="183" t="s">
        <v>4927</v>
      </c>
      <c r="B1998" s="183" t="s">
        <v>4928</v>
      </c>
      <c r="C1998">
        <v>61008212</v>
      </c>
      <c r="D1998">
        <v>266</v>
      </c>
      <c r="E1998">
        <v>0</v>
      </c>
      <c r="F1998">
        <v>0</v>
      </c>
      <c r="G1998">
        <v>0</v>
      </c>
      <c r="H1998">
        <v>266</v>
      </c>
      <c r="I1998" s="183" t="s">
        <v>1267</v>
      </c>
      <c r="J1998" s="183" t="s">
        <v>12059</v>
      </c>
      <c r="K1998">
        <v>0</v>
      </c>
      <c r="L1998">
        <v>266</v>
      </c>
    </row>
    <row r="1999" spans="1:12">
      <c r="A1999" s="183" t="s">
        <v>2434</v>
      </c>
      <c r="B1999" s="183" t="s">
        <v>2435</v>
      </c>
      <c r="C1999">
        <v>61008213</v>
      </c>
      <c r="D1999">
        <v>547</v>
      </c>
      <c r="E1999">
        <v>0</v>
      </c>
      <c r="F1999">
        <v>0</v>
      </c>
      <c r="G1999">
        <v>0</v>
      </c>
      <c r="H1999">
        <v>547</v>
      </c>
      <c r="I1999" s="183" t="s">
        <v>1267</v>
      </c>
      <c r="J1999" s="183" t="s">
        <v>12059</v>
      </c>
      <c r="K1999">
        <v>0</v>
      </c>
      <c r="L1999">
        <v>547</v>
      </c>
    </row>
    <row r="2000" spans="1:12">
      <c r="A2000" s="183" t="s">
        <v>4925</v>
      </c>
      <c r="B2000" s="183" t="s">
        <v>4926</v>
      </c>
      <c r="C2000">
        <v>61008217</v>
      </c>
      <c r="D2000">
        <v>503</v>
      </c>
      <c r="E2000">
        <v>0</v>
      </c>
      <c r="F2000">
        <v>0</v>
      </c>
      <c r="G2000">
        <v>0</v>
      </c>
      <c r="H2000">
        <v>503</v>
      </c>
      <c r="I2000" s="183" t="s">
        <v>1267</v>
      </c>
      <c r="J2000" s="183" t="s">
        <v>12058</v>
      </c>
      <c r="K2000">
        <v>0</v>
      </c>
      <c r="L2000">
        <v>503</v>
      </c>
    </row>
    <row r="2001" spans="1:12">
      <c r="A2001" s="183" t="s">
        <v>4929</v>
      </c>
      <c r="B2001" s="183" t="s">
        <v>4930</v>
      </c>
      <c r="C2001">
        <v>61008236</v>
      </c>
      <c r="D2001">
        <v>345</v>
      </c>
      <c r="E2001">
        <v>0</v>
      </c>
      <c r="F2001">
        <v>0</v>
      </c>
      <c r="G2001">
        <v>0</v>
      </c>
      <c r="H2001">
        <v>345</v>
      </c>
      <c r="I2001" s="183" t="s">
        <v>1267</v>
      </c>
      <c r="J2001" s="183" t="s">
        <v>12056</v>
      </c>
      <c r="K2001">
        <v>0</v>
      </c>
      <c r="L2001">
        <v>345</v>
      </c>
    </row>
    <row r="2002" spans="1:12">
      <c r="A2002" s="183" t="s">
        <v>5708</v>
      </c>
      <c r="B2002" s="183" t="s">
        <v>5709</v>
      </c>
      <c r="C2002">
        <v>61008240</v>
      </c>
      <c r="D2002">
        <v>370</v>
      </c>
      <c r="E2002">
        <v>0</v>
      </c>
      <c r="F2002">
        <v>0</v>
      </c>
      <c r="G2002">
        <v>0</v>
      </c>
      <c r="H2002">
        <v>370</v>
      </c>
      <c r="I2002" s="183" t="s">
        <v>1267</v>
      </c>
      <c r="J2002" s="183" t="s">
        <v>12060</v>
      </c>
      <c r="K2002">
        <v>0</v>
      </c>
      <c r="L2002">
        <v>370</v>
      </c>
    </row>
    <row r="2003" spans="1:12">
      <c r="A2003" s="183" t="s">
        <v>3794</v>
      </c>
      <c r="B2003" s="183" t="s">
        <v>3795</v>
      </c>
      <c r="C2003">
        <v>64004208</v>
      </c>
      <c r="D2003">
        <v>625</v>
      </c>
      <c r="E2003">
        <v>0</v>
      </c>
      <c r="F2003">
        <v>0</v>
      </c>
      <c r="G2003">
        <v>0</v>
      </c>
      <c r="H2003">
        <v>625</v>
      </c>
      <c r="I2003" s="183" t="s">
        <v>1051</v>
      </c>
      <c r="J2003" s="183" t="s">
        <v>12060</v>
      </c>
      <c r="K2003">
        <v>0</v>
      </c>
      <c r="L2003">
        <v>625</v>
      </c>
    </row>
    <row r="2004" spans="1:12">
      <c r="A2004" s="183" t="s">
        <v>12025</v>
      </c>
      <c r="B2004" s="183" t="s">
        <v>12026</v>
      </c>
      <c r="C2004">
        <v>64001207</v>
      </c>
      <c r="D2004">
        <v>165</v>
      </c>
      <c r="E2004">
        <v>0</v>
      </c>
      <c r="F2004">
        <v>0</v>
      </c>
      <c r="G2004">
        <v>0</v>
      </c>
      <c r="H2004">
        <v>165</v>
      </c>
      <c r="I2004" s="183" t="s">
        <v>1062</v>
      </c>
      <c r="J2004" s="183" t="s">
        <v>12093</v>
      </c>
      <c r="K2004">
        <v>0</v>
      </c>
      <c r="L2004">
        <v>165</v>
      </c>
    </row>
    <row r="2005" spans="1:12">
      <c r="A2005" s="183" t="s">
        <v>6187</v>
      </c>
      <c r="B2005" s="183" t="s">
        <v>6188</v>
      </c>
      <c r="C2005">
        <v>64001220</v>
      </c>
      <c r="D2005">
        <v>51</v>
      </c>
      <c r="E2005">
        <v>0</v>
      </c>
      <c r="F2005">
        <v>1</v>
      </c>
      <c r="G2005">
        <v>0</v>
      </c>
      <c r="H2005">
        <v>52</v>
      </c>
      <c r="I2005" s="183" t="s">
        <v>1062</v>
      </c>
      <c r="J2005" s="183" t="s">
        <v>12093</v>
      </c>
      <c r="K2005">
        <v>0</v>
      </c>
      <c r="L2005">
        <v>51</v>
      </c>
    </row>
    <row r="2006" spans="1:12">
      <c r="A2006" s="183" t="s">
        <v>5162</v>
      </c>
      <c r="B2006" s="183" t="s">
        <v>5163</v>
      </c>
      <c r="C2006">
        <v>64001230</v>
      </c>
      <c r="D2006">
        <v>235</v>
      </c>
      <c r="E2006">
        <v>0</v>
      </c>
      <c r="F2006">
        <v>0</v>
      </c>
      <c r="G2006">
        <v>0</v>
      </c>
      <c r="H2006">
        <v>235</v>
      </c>
      <c r="I2006" s="183" t="s">
        <v>1062</v>
      </c>
      <c r="J2006" s="183" t="s">
        <v>12085</v>
      </c>
      <c r="K2006">
        <v>0</v>
      </c>
      <c r="L2006">
        <v>235</v>
      </c>
    </row>
    <row r="2007" spans="1:12">
      <c r="A2007" s="183" t="s">
        <v>229</v>
      </c>
      <c r="B2007" s="183" t="s">
        <v>1084</v>
      </c>
      <c r="C2007">
        <v>64001234</v>
      </c>
      <c r="D2007">
        <v>831</v>
      </c>
      <c r="E2007">
        <v>0</v>
      </c>
      <c r="F2007">
        <v>0</v>
      </c>
      <c r="G2007">
        <v>0</v>
      </c>
      <c r="H2007">
        <v>831</v>
      </c>
      <c r="I2007" s="183" t="s">
        <v>1062</v>
      </c>
      <c r="J2007" s="183" t="s">
        <v>12095</v>
      </c>
      <c r="K2007">
        <v>0</v>
      </c>
      <c r="L2007">
        <v>831</v>
      </c>
    </row>
    <row r="2008" spans="1:12">
      <c r="A2008" s="183" t="s">
        <v>6147</v>
      </c>
      <c r="B2008" s="183" t="s">
        <v>6148</v>
      </c>
      <c r="C2008">
        <v>64003208</v>
      </c>
      <c r="D2008">
        <v>486</v>
      </c>
      <c r="E2008">
        <v>0</v>
      </c>
      <c r="F2008">
        <v>0</v>
      </c>
      <c r="G2008">
        <v>0</v>
      </c>
      <c r="H2008">
        <v>486</v>
      </c>
      <c r="I2008" s="183" t="s">
        <v>1012</v>
      </c>
      <c r="J2008" s="183" t="s">
        <v>12093</v>
      </c>
      <c r="K2008">
        <v>0</v>
      </c>
      <c r="L2008">
        <v>486</v>
      </c>
    </row>
    <row r="2009" spans="1:12">
      <c r="A2009" s="183" t="s">
        <v>6149</v>
      </c>
      <c r="B2009" s="183" t="s">
        <v>6150</v>
      </c>
      <c r="C2009">
        <v>64003212</v>
      </c>
      <c r="D2009">
        <v>484</v>
      </c>
      <c r="E2009">
        <v>0</v>
      </c>
      <c r="F2009">
        <v>6</v>
      </c>
      <c r="G2009">
        <v>0</v>
      </c>
      <c r="H2009">
        <v>490</v>
      </c>
      <c r="I2009" s="183" t="s">
        <v>1012</v>
      </c>
      <c r="J2009" s="183" t="s">
        <v>12091</v>
      </c>
      <c r="K2009">
        <v>0</v>
      </c>
      <c r="L2009">
        <v>484</v>
      </c>
    </row>
    <row r="2010" spans="1:12">
      <c r="A2010" s="183" t="s">
        <v>6116</v>
      </c>
      <c r="B2010" s="183" t="s">
        <v>6117</v>
      </c>
      <c r="C2010">
        <v>64003217</v>
      </c>
      <c r="D2010">
        <v>774</v>
      </c>
      <c r="E2010">
        <v>0</v>
      </c>
      <c r="F2010">
        <v>0</v>
      </c>
      <c r="G2010">
        <v>0</v>
      </c>
      <c r="H2010">
        <v>774</v>
      </c>
      <c r="I2010" s="183" t="s">
        <v>1012</v>
      </c>
      <c r="J2010" s="183" t="s">
        <v>12060</v>
      </c>
      <c r="K2010">
        <v>0</v>
      </c>
      <c r="L2010">
        <v>774</v>
      </c>
    </row>
    <row r="2011" spans="1:12">
      <c r="A2011" s="183" t="s">
        <v>6225</v>
      </c>
      <c r="B2011" s="183" t="s">
        <v>6226</v>
      </c>
      <c r="C2011">
        <v>64003228</v>
      </c>
      <c r="D2011">
        <v>916</v>
      </c>
      <c r="E2011">
        <v>0</v>
      </c>
      <c r="F2011">
        <v>0</v>
      </c>
      <c r="G2011">
        <v>0</v>
      </c>
      <c r="H2011">
        <v>916</v>
      </c>
      <c r="I2011" s="183" t="s">
        <v>1012</v>
      </c>
      <c r="J2011" s="183" t="s">
        <v>12093</v>
      </c>
      <c r="K2011">
        <v>0</v>
      </c>
      <c r="L2011">
        <v>916</v>
      </c>
    </row>
    <row r="2012" spans="1:12">
      <c r="A2012" s="183" t="s">
        <v>6118</v>
      </c>
      <c r="B2012" s="183" t="s">
        <v>6119</v>
      </c>
      <c r="C2012">
        <v>64003240</v>
      </c>
      <c r="D2012">
        <v>194</v>
      </c>
      <c r="E2012">
        <v>0</v>
      </c>
      <c r="F2012">
        <v>0</v>
      </c>
      <c r="G2012">
        <v>0</v>
      </c>
      <c r="H2012">
        <v>194</v>
      </c>
      <c r="I2012" s="183" t="s">
        <v>1012</v>
      </c>
      <c r="J2012" s="183" t="s">
        <v>12094</v>
      </c>
      <c r="K2012">
        <v>0</v>
      </c>
      <c r="L2012">
        <v>194</v>
      </c>
    </row>
    <row r="2013" spans="1:12">
      <c r="A2013" s="183" t="s">
        <v>3855</v>
      </c>
      <c r="B2013" s="183" t="s">
        <v>3856</v>
      </c>
      <c r="C2013">
        <v>11860206</v>
      </c>
      <c r="D2013">
        <v>203</v>
      </c>
      <c r="E2013">
        <v>0</v>
      </c>
      <c r="F2013">
        <v>0</v>
      </c>
      <c r="G2013">
        <v>0</v>
      </c>
      <c r="H2013">
        <v>203</v>
      </c>
      <c r="I2013" s="183" t="s">
        <v>1052</v>
      </c>
      <c r="J2013" s="183" t="s">
        <v>12094</v>
      </c>
      <c r="K2013">
        <v>0</v>
      </c>
      <c r="L2013">
        <v>203</v>
      </c>
    </row>
    <row r="2014" spans="1:12">
      <c r="A2014" s="183" t="s">
        <v>3863</v>
      </c>
      <c r="B2014" s="183" t="s">
        <v>3864</v>
      </c>
      <c r="C2014">
        <v>11860215</v>
      </c>
      <c r="D2014">
        <v>279</v>
      </c>
      <c r="E2014">
        <v>0</v>
      </c>
      <c r="F2014">
        <v>0</v>
      </c>
      <c r="G2014">
        <v>0</v>
      </c>
      <c r="H2014">
        <v>279</v>
      </c>
      <c r="I2014" s="183" t="s">
        <v>1052</v>
      </c>
      <c r="J2014" s="183" t="s">
        <v>12081</v>
      </c>
      <c r="K2014">
        <v>0</v>
      </c>
      <c r="L2014">
        <v>279</v>
      </c>
    </row>
    <row r="2015" spans="1:12">
      <c r="A2015" s="183" t="s">
        <v>5877</v>
      </c>
      <c r="B2015" s="183" t="s">
        <v>5878</v>
      </c>
      <c r="C2015">
        <v>11860217</v>
      </c>
      <c r="D2015">
        <v>347</v>
      </c>
      <c r="E2015">
        <v>0</v>
      </c>
      <c r="F2015">
        <v>0</v>
      </c>
      <c r="G2015">
        <v>0</v>
      </c>
      <c r="H2015">
        <v>347</v>
      </c>
      <c r="I2015" s="183" t="s">
        <v>1052</v>
      </c>
      <c r="J2015" s="183" t="s">
        <v>12081</v>
      </c>
      <c r="K2015">
        <v>0</v>
      </c>
      <c r="L2015">
        <v>347</v>
      </c>
    </row>
    <row r="2016" spans="1:12">
      <c r="A2016" s="183" t="s">
        <v>244</v>
      </c>
      <c r="B2016" s="183" t="s">
        <v>245</v>
      </c>
      <c r="C2016">
        <v>11860244</v>
      </c>
      <c r="D2016">
        <v>143</v>
      </c>
      <c r="E2016">
        <v>0</v>
      </c>
      <c r="F2016">
        <v>0</v>
      </c>
      <c r="G2016">
        <v>0</v>
      </c>
      <c r="H2016">
        <v>143</v>
      </c>
      <c r="I2016" s="183" t="s">
        <v>1052</v>
      </c>
      <c r="J2016" s="183" t="s">
        <v>12092</v>
      </c>
      <c r="K2016">
        <v>0</v>
      </c>
      <c r="L2016">
        <v>143</v>
      </c>
    </row>
    <row r="2017" spans="1:12">
      <c r="A2017" s="183" t="s">
        <v>248</v>
      </c>
      <c r="B2017" s="183" t="s">
        <v>249</v>
      </c>
      <c r="C2017">
        <v>11860248</v>
      </c>
      <c r="D2017">
        <v>162</v>
      </c>
      <c r="E2017">
        <v>0</v>
      </c>
      <c r="F2017">
        <v>0</v>
      </c>
      <c r="G2017">
        <v>0</v>
      </c>
      <c r="H2017">
        <v>162</v>
      </c>
      <c r="I2017" s="183" t="s">
        <v>1052</v>
      </c>
      <c r="J2017" s="183" t="s">
        <v>12081</v>
      </c>
      <c r="K2017">
        <v>0</v>
      </c>
      <c r="L2017">
        <v>162</v>
      </c>
    </row>
    <row r="2018" spans="1:12">
      <c r="A2018" s="183" t="s">
        <v>255</v>
      </c>
      <c r="B2018" s="183" t="s">
        <v>1227</v>
      </c>
      <c r="C2018">
        <v>7200217</v>
      </c>
      <c r="D2018">
        <v>673</v>
      </c>
      <c r="E2018">
        <v>0</v>
      </c>
      <c r="F2018">
        <v>0</v>
      </c>
      <c r="G2018">
        <v>0</v>
      </c>
      <c r="H2018">
        <v>673</v>
      </c>
      <c r="I2018" s="183" t="s">
        <v>1228</v>
      </c>
      <c r="J2018" s="183" t="s">
        <v>12050</v>
      </c>
      <c r="K2018">
        <v>0</v>
      </c>
      <c r="L2018">
        <v>673</v>
      </c>
    </row>
    <row r="2019" spans="1:12">
      <c r="A2019" s="183" t="s">
        <v>261</v>
      </c>
      <c r="B2019" s="183" t="s">
        <v>262</v>
      </c>
      <c r="C2019">
        <v>2290203</v>
      </c>
      <c r="D2019">
        <v>133</v>
      </c>
      <c r="E2019">
        <v>0</v>
      </c>
      <c r="F2019">
        <v>0</v>
      </c>
      <c r="G2019">
        <v>0</v>
      </c>
      <c r="H2019">
        <v>133</v>
      </c>
      <c r="I2019" s="183" t="s">
        <v>1053</v>
      </c>
      <c r="J2019" s="183" t="s">
        <v>12053</v>
      </c>
      <c r="K2019">
        <v>0</v>
      </c>
      <c r="L2019">
        <v>133</v>
      </c>
    </row>
    <row r="2020" spans="1:12">
      <c r="A2020" s="183" t="s">
        <v>4871</v>
      </c>
      <c r="B2020" s="183" t="s">
        <v>4872</v>
      </c>
      <c r="C2020">
        <v>63009207</v>
      </c>
      <c r="D2020">
        <v>286</v>
      </c>
      <c r="E2020">
        <v>0</v>
      </c>
      <c r="F2020">
        <v>0</v>
      </c>
      <c r="G2020">
        <v>0</v>
      </c>
      <c r="H2020">
        <v>286</v>
      </c>
      <c r="I2020" s="183" t="s">
        <v>1093</v>
      </c>
      <c r="J2020" s="183" t="s">
        <v>12058</v>
      </c>
      <c r="K2020">
        <v>0</v>
      </c>
      <c r="L2020">
        <v>286</v>
      </c>
    </row>
    <row r="2021" spans="1:12">
      <c r="A2021" s="183" t="s">
        <v>6167</v>
      </c>
      <c r="B2021" s="183" t="s">
        <v>6168</v>
      </c>
      <c r="C2021">
        <v>63009214</v>
      </c>
      <c r="D2021">
        <v>273</v>
      </c>
      <c r="E2021">
        <v>0</v>
      </c>
      <c r="F2021">
        <v>0</v>
      </c>
      <c r="G2021">
        <v>0</v>
      </c>
      <c r="H2021">
        <v>273</v>
      </c>
      <c r="I2021" s="183" t="s">
        <v>1093</v>
      </c>
      <c r="J2021" s="183" t="s">
        <v>12067</v>
      </c>
      <c r="K2021">
        <v>0</v>
      </c>
      <c r="L2021">
        <v>273</v>
      </c>
    </row>
    <row r="2022" spans="1:12">
      <c r="A2022" s="183" t="s">
        <v>289</v>
      </c>
      <c r="B2022" s="183" t="s">
        <v>1064</v>
      </c>
      <c r="C2022">
        <v>75180</v>
      </c>
      <c r="D2022">
        <v>292</v>
      </c>
      <c r="E2022">
        <v>0</v>
      </c>
      <c r="F2022">
        <v>0</v>
      </c>
      <c r="G2022">
        <v>0</v>
      </c>
      <c r="H2022">
        <v>292</v>
      </c>
      <c r="I2022" s="183" t="s">
        <v>1065</v>
      </c>
      <c r="J2022" s="183" t="s">
        <v>12059</v>
      </c>
      <c r="K2022">
        <v>0</v>
      </c>
      <c r="L2022">
        <v>292</v>
      </c>
    </row>
    <row r="2023" spans="1:12">
      <c r="A2023" s="183" t="s">
        <v>3520</v>
      </c>
      <c r="B2023" s="183" t="s">
        <v>1064</v>
      </c>
      <c r="C2023">
        <v>250075180</v>
      </c>
      <c r="D2023">
        <v>127</v>
      </c>
      <c r="E2023">
        <v>0</v>
      </c>
      <c r="F2023">
        <v>0</v>
      </c>
      <c r="G2023">
        <v>0</v>
      </c>
      <c r="H2023">
        <v>127</v>
      </c>
      <c r="I2023" s="183" t="s">
        <v>1065</v>
      </c>
      <c r="J2023" s="183" t="s">
        <v>12067</v>
      </c>
      <c r="K2023">
        <v>0</v>
      </c>
      <c r="L2023">
        <v>127</v>
      </c>
    </row>
    <row r="2024" spans="1:12">
      <c r="A2024" s="183" t="s">
        <v>2999</v>
      </c>
      <c r="B2024" s="183" t="s">
        <v>1064</v>
      </c>
      <c r="C2024">
        <v>325125180</v>
      </c>
      <c r="D2024">
        <v>466</v>
      </c>
      <c r="E2024">
        <v>0</v>
      </c>
      <c r="F2024">
        <v>0</v>
      </c>
      <c r="G2024">
        <v>0</v>
      </c>
      <c r="H2024">
        <v>466</v>
      </c>
      <c r="I2024" s="183" t="s">
        <v>1065</v>
      </c>
      <c r="J2024" s="183" t="s">
        <v>12091</v>
      </c>
      <c r="K2024">
        <v>0</v>
      </c>
      <c r="L2024">
        <v>466</v>
      </c>
    </row>
    <row r="2025" spans="1:12">
      <c r="A2025" s="183" t="s">
        <v>5158</v>
      </c>
      <c r="B2025" s="183" t="s">
        <v>1064</v>
      </c>
      <c r="C2025">
        <v>375075180</v>
      </c>
      <c r="D2025">
        <v>276</v>
      </c>
      <c r="E2025">
        <v>0</v>
      </c>
      <c r="F2025">
        <v>0</v>
      </c>
      <c r="G2025">
        <v>0</v>
      </c>
      <c r="H2025">
        <v>276</v>
      </c>
      <c r="I2025" s="183" t="s">
        <v>1065</v>
      </c>
      <c r="J2025" s="183" t="s">
        <v>12058</v>
      </c>
      <c r="K2025">
        <v>0</v>
      </c>
      <c r="L2025">
        <v>276</v>
      </c>
    </row>
    <row r="2026" spans="1:12">
      <c r="A2026" s="183" t="s">
        <v>6335</v>
      </c>
      <c r="B2026" s="183" t="s">
        <v>1064</v>
      </c>
      <c r="C2026">
        <v>375125180</v>
      </c>
      <c r="D2026">
        <v>640</v>
      </c>
      <c r="E2026">
        <v>0</v>
      </c>
      <c r="F2026">
        <v>0</v>
      </c>
      <c r="G2026">
        <v>0</v>
      </c>
      <c r="H2026">
        <v>640</v>
      </c>
      <c r="I2026" s="183" t="s">
        <v>1065</v>
      </c>
      <c r="J2026" s="183" t="s">
        <v>12052</v>
      </c>
      <c r="K2026">
        <v>0</v>
      </c>
      <c r="L2026">
        <v>640</v>
      </c>
    </row>
    <row r="2027" spans="1:12">
      <c r="A2027" s="183" t="s">
        <v>6407</v>
      </c>
      <c r="B2027" s="183" t="s">
        <v>1064</v>
      </c>
      <c r="C2027">
        <v>400125180</v>
      </c>
      <c r="D2027">
        <v>467</v>
      </c>
      <c r="E2027">
        <v>0</v>
      </c>
      <c r="F2027">
        <v>0</v>
      </c>
      <c r="G2027">
        <v>0</v>
      </c>
      <c r="H2027">
        <v>467</v>
      </c>
      <c r="I2027" s="183" t="s">
        <v>1065</v>
      </c>
      <c r="J2027" s="183" t="s">
        <v>12054</v>
      </c>
      <c r="K2027">
        <v>0</v>
      </c>
      <c r="L2027">
        <v>467</v>
      </c>
    </row>
    <row r="2028" spans="1:12">
      <c r="A2028" s="183" t="s">
        <v>300</v>
      </c>
      <c r="B2028" s="183" t="s">
        <v>1064</v>
      </c>
      <c r="C2028">
        <v>575125180</v>
      </c>
      <c r="D2028">
        <v>442</v>
      </c>
      <c r="E2028">
        <v>0</v>
      </c>
      <c r="F2028">
        <v>0</v>
      </c>
      <c r="G2028">
        <v>0</v>
      </c>
      <c r="H2028">
        <v>442</v>
      </c>
      <c r="I2028" s="183" t="s">
        <v>1065</v>
      </c>
      <c r="J2028" s="183" t="s">
        <v>12052</v>
      </c>
      <c r="K2028">
        <v>0</v>
      </c>
      <c r="L2028">
        <v>442</v>
      </c>
    </row>
    <row r="2029" spans="1:12">
      <c r="A2029" s="183" t="s">
        <v>302</v>
      </c>
      <c r="B2029" s="183" t="s">
        <v>1064</v>
      </c>
      <c r="C2029">
        <v>650075180</v>
      </c>
      <c r="D2029">
        <v>296</v>
      </c>
      <c r="E2029">
        <v>0</v>
      </c>
      <c r="F2029">
        <v>0</v>
      </c>
      <c r="G2029">
        <v>0</v>
      </c>
      <c r="H2029">
        <v>296</v>
      </c>
      <c r="I2029" s="183" t="s">
        <v>1065</v>
      </c>
      <c r="J2029" s="183" t="s">
        <v>12054</v>
      </c>
      <c r="K2029">
        <v>0</v>
      </c>
      <c r="L2029">
        <v>296</v>
      </c>
    </row>
    <row r="2030" spans="1:12">
      <c r="A2030" s="183" t="s">
        <v>1953</v>
      </c>
      <c r="B2030" s="183" t="s">
        <v>1032</v>
      </c>
      <c r="C2030">
        <v>73860232</v>
      </c>
      <c r="D2030">
        <v>70</v>
      </c>
      <c r="E2030">
        <v>0</v>
      </c>
      <c r="F2030">
        <v>0</v>
      </c>
      <c r="G2030">
        <v>0</v>
      </c>
      <c r="H2030">
        <v>70</v>
      </c>
      <c r="I2030" s="183" t="s">
        <v>1033</v>
      </c>
      <c r="J2030" s="183" t="s">
        <v>12093</v>
      </c>
      <c r="K2030">
        <v>0</v>
      </c>
      <c r="L2030">
        <v>70</v>
      </c>
    </row>
    <row r="2031" spans="1:12">
      <c r="A2031" s="183" t="s">
        <v>1431</v>
      </c>
      <c r="B2031" s="183" t="s">
        <v>1032</v>
      </c>
      <c r="C2031">
        <v>73860234</v>
      </c>
      <c r="D2031">
        <v>55</v>
      </c>
      <c r="E2031">
        <v>0</v>
      </c>
      <c r="F2031">
        <v>0</v>
      </c>
      <c r="G2031">
        <v>0</v>
      </c>
      <c r="H2031">
        <v>55</v>
      </c>
      <c r="I2031" s="183" t="s">
        <v>1033</v>
      </c>
      <c r="J2031" s="183" t="s">
        <v>12057</v>
      </c>
      <c r="K2031">
        <v>0</v>
      </c>
      <c r="L2031">
        <v>55</v>
      </c>
    </row>
    <row r="2032" spans="1:12">
      <c r="A2032" s="183" t="s">
        <v>4987</v>
      </c>
      <c r="B2032" s="183" t="s">
        <v>1032</v>
      </c>
      <c r="C2032">
        <v>73860238</v>
      </c>
      <c r="D2032">
        <v>135</v>
      </c>
      <c r="E2032">
        <v>0</v>
      </c>
      <c r="F2032">
        <v>0</v>
      </c>
      <c r="G2032">
        <v>0</v>
      </c>
      <c r="H2032">
        <v>135</v>
      </c>
      <c r="I2032" s="183" t="s">
        <v>1033</v>
      </c>
      <c r="J2032" s="183" t="s">
        <v>12066</v>
      </c>
      <c r="K2032">
        <v>0</v>
      </c>
      <c r="L2032">
        <v>135</v>
      </c>
    </row>
    <row r="2033" spans="1:12">
      <c r="A2033" s="183" t="s">
        <v>3204</v>
      </c>
      <c r="B2033" s="183" t="s">
        <v>1060</v>
      </c>
      <c r="C2033">
        <v>175180154</v>
      </c>
      <c r="D2033">
        <v>69</v>
      </c>
      <c r="E2033">
        <v>0</v>
      </c>
      <c r="F2033">
        <v>0</v>
      </c>
      <c r="G2033">
        <v>0</v>
      </c>
      <c r="H2033">
        <v>69</v>
      </c>
      <c r="I2033" s="183" t="s">
        <v>1061</v>
      </c>
      <c r="J2033" s="183" t="s">
        <v>12081</v>
      </c>
      <c r="K2033">
        <v>0</v>
      </c>
      <c r="L2033">
        <v>69</v>
      </c>
    </row>
    <row r="2034" spans="1:12">
      <c r="A2034" s="183" t="s">
        <v>325</v>
      </c>
      <c r="B2034" s="183" t="s">
        <v>1060</v>
      </c>
      <c r="C2034">
        <v>225075180154</v>
      </c>
      <c r="D2034">
        <v>116</v>
      </c>
      <c r="E2034">
        <v>0</v>
      </c>
      <c r="F2034">
        <v>0</v>
      </c>
      <c r="G2034">
        <v>0</v>
      </c>
      <c r="H2034">
        <v>116</v>
      </c>
      <c r="I2034" s="183" t="s">
        <v>1061</v>
      </c>
      <c r="J2034" s="183" t="s">
        <v>12060</v>
      </c>
      <c r="K2034">
        <v>0</v>
      </c>
      <c r="L2034">
        <v>116</v>
      </c>
    </row>
    <row r="2035" spans="1:12">
      <c r="A2035" s="183" t="s">
        <v>326</v>
      </c>
      <c r="B2035" s="183" t="s">
        <v>1060</v>
      </c>
      <c r="C2035">
        <v>225125180154</v>
      </c>
      <c r="D2035">
        <v>61</v>
      </c>
      <c r="E2035">
        <v>0</v>
      </c>
      <c r="F2035">
        <v>0</v>
      </c>
      <c r="G2035">
        <v>0</v>
      </c>
      <c r="H2035">
        <v>61</v>
      </c>
      <c r="I2035" s="183" t="s">
        <v>1061</v>
      </c>
      <c r="J2035" s="183" t="s">
        <v>12059</v>
      </c>
      <c r="K2035">
        <v>0</v>
      </c>
      <c r="L2035">
        <v>61</v>
      </c>
    </row>
    <row r="2036" spans="1:12">
      <c r="A2036" s="183" t="s">
        <v>328</v>
      </c>
      <c r="B2036" s="183" t="s">
        <v>1060</v>
      </c>
      <c r="C2036">
        <v>250075180154</v>
      </c>
      <c r="D2036">
        <v>91</v>
      </c>
      <c r="E2036">
        <v>0</v>
      </c>
      <c r="F2036">
        <v>0</v>
      </c>
      <c r="G2036">
        <v>0</v>
      </c>
      <c r="H2036">
        <v>91</v>
      </c>
      <c r="I2036" s="183" t="s">
        <v>1061</v>
      </c>
      <c r="J2036" s="183" t="s">
        <v>12059</v>
      </c>
      <c r="K2036">
        <v>0</v>
      </c>
      <c r="L2036">
        <v>91</v>
      </c>
    </row>
    <row r="2037" spans="1:12">
      <c r="A2037" s="183" t="s">
        <v>3388</v>
      </c>
      <c r="B2037" s="183" t="s">
        <v>1060</v>
      </c>
      <c r="C2037">
        <v>400075180154</v>
      </c>
      <c r="D2037">
        <v>210</v>
      </c>
      <c r="E2037">
        <v>0</v>
      </c>
      <c r="F2037">
        <v>0</v>
      </c>
      <c r="G2037">
        <v>0</v>
      </c>
      <c r="H2037">
        <v>210</v>
      </c>
      <c r="I2037" s="183" t="s">
        <v>1061</v>
      </c>
      <c r="J2037" s="183" t="s">
        <v>12053</v>
      </c>
      <c r="K2037">
        <v>0</v>
      </c>
      <c r="L2037">
        <v>210</v>
      </c>
    </row>
    <row r="2038" spans="1:12">
      <c r="A2038" s="183" t="s">
        <v>4984</v>
      </c>
      <c r="B2038" s="183" t="s">
        <v>1060</v>
      </c>
      <c r="C2038">
        <v>425125180154</v>
      </c>
      <c r="D2038">
        <v>139</v>
      </c>
      <c r="E2038">
        <v>0</v>
      </c>
      <c r="F2038">
        <v>1</v>
      </c>
      <c r="G2038">
        <v>0</v>
      </c>
      <c r="H2038">
        <v>140</v>
      </c>
      <c r="I2038" s="183" t="s">
        <v>1061</v>
      </c>
      <c r="J2038" s="183" t="s">
        <v>12059</v>
      </c>
      <c r="K2038">
        <v>0</v>
      </c>
      <c r="L2038">
        <v>139</v>
      </c>
    </row>
    <row r="2039" spans="1:12">
      <c r="A2039" s="183" t="s">
        <v>3187</v>
      </c>
      <c r="B2039" s="183" t="s">
        <v>1060</v>
      </c>
      <c r="C2039">
        <v>450175180154</v>
      </c>
      <c r="D2039">
        <v>164</v>
      </c>
      <c r="E2039">
        <v>0</v>
      </c>
      <c r="F2039">
        <v>0</v>
      </c>
      <c r="G2039">
        <v>0</v>
      </c>
      <c r="H2039">
        <v>164</v>
      </c>
      <c r="I2039" s="183" t="s">
        <v>1061</v>
      </c>
      <c r="J2039" s="183" t="s">
        <v>12067</v>
      </c>
      <c r="K2039">
        <v>0</v>
      </c>
      <c r="L2039">
        <v>164</v>
      </c>
    </row>
    <row r="2040" spans="1:12">
      <c r="A2040" s="183" t="s">
        <v>340</v>
      </c>
      <c r="B2040" s="183" t="s">
        <v>1060</v>
      </c>
      <c r="C2040">
        <v>475175180154</v>
      </c>
      <c r="D2040">
        <v>39</v>
      </c>
      <c r="E2040">
        <v>0</v>
      </c>
      <c r="F2040">
        <v>0</v>
      </c>
      <c r="G2040">
        <v>0</v>
      </c>
      <c r="H2040">
        <v>39</v>
      </c>
      <c r="I2040" s="183" t="s">
        <v>1061</v>
      </c>
      <c r="J2040" s="183" t="s">
        <v>12092</v>
      </c>
      <c r="K2040">
        <v>0</v>
      </c>
      <c r="L2040">
        <v>39</v>
      </c>
    </row>
    <row r="2041" spans="1:12">
      <c r="A2041" s="183" t="s">
        <v>342</v>
      </c>
      <c r="B2041" s="183" t="s">
        <v>1060</v>
      </c>
      <c r="C2041">
        <v>525125180154</v>
      </c>
      <c r="D2041">
        <v>116</v>
      </c>
      <c r="E2041">
        <v>0</v>
      </c>
      <c r="F2041">
        <v>0</v>
      </c>
      <c r="G2041">
        <v>0</v>
      </c>
      <c r="H2041">
        <v>116</v>
      </c>
      <c r="I2041" s="183" t="s">
        <v>1061</v>
      </c>
      <c r="J2041" s="183" t="s">
        <v>12094</v>
      </c>
      <c r="K2041">
        <v>0</v>
      </c>
      <c r="L2041">
        <v>116</v>
      </c>
    </row>
    <row r="2042" spans="1:12">
      <c r="A2042" s="183" t="s">
        <v>3506</v>
      </c>
      <c r="B2042" s="183" t="s">
        <v>1060</v>
      </c>
      <c r="C2042">
        <v>525175180154</v>
      </c>
      <c r="D2042">
        <v>89</v>
      </c>
      <c r="E2042">
        <v>0</v>
      </c>
      <c r="F2042">
        <v>0</v>
      </c>
      <c r="G2042">
        <v>0</v>
      </c>
      <c r="H2042">
        <v>89</v>
      </c>
      <c r="I2042" s="183" t="s">
        <v>1061</v>
      </c>
      <c r="J2042" s="183" t="s">
        <v>12081</v>
      </c>
      <c r="K2042">
        <v>0</v>
      </c>
      <c r="L2042">
        <v>89</v>
      </c>
    </row>
    <row r="2043" spans="1:12">
      <c r="A2043" s="183" t="s">
        <v>4983</v>
      </c>
      <c r="B2043" s="183" t="s">
        <v>1060</v>
      </c>
      <c r="C2043">
        <v>600125180154</v>
      </c>
      <c r="D2043">
        <v>188</v>
      </c>
      <c r="E2043">
        <v>0</v>
      </c>
      <c r="F2043">
        <v>0</v>
      </c>
      <c r="G2043">
        <v>0</v>
      </c>
      <c r="H2043">
        <v>188</v>
      </c>
      <c r="I2043" s="183" t="s">
        <v>1061</v>
      </c>
      <c r="J2043" s="183" t="s">
        <v>12053</v>
      </c>
      <c r="K2043">
        <v>0</v>
      </c>
      <c r="L2043">
        <v>188</v>
      </c>
    </row>
    <row r="2044" spans="1:12">
      <c r="A2044" s="183" t="s">
        <v>6329</v>
      </c>
      <c r="B2044" s="183" t="s">
        <v>1060</v>
      </c>
      <c r="C2044">
        <v>600175180154</v>
      </c>
      <c r="D2044">
        <v>133</v>
      </c>
      <c r="E2044">
        <v>0</v>
      </c>
      <c r="F2044">
        <v>0</v>
      </c>
      <c r="G2044">
        <v>0</v>
      </c>
      <c r="H2044">
        <v>133</v>
      </c>
      <c r="I2044" s="183" t="s">
        <v>1061</v>
      </c>
      <c r="J2044" s="183" t="s">
        <v>12093</v>
      </c>
      <c r="K2044">
        <v>0</v>
      </c>
      <c r="L2044">
        <v>133</v>
      </c>
    </row>
    <row r="2045" spans="1:12">
      <c r="A2045" s="183" t="s">
        <v>3389</v>
      </c>
      <c r="B2045" s="183" t="s">
        <v>1060</v>
      </c>
      <c r="C2045">
        <v>700175180154</v>
      </c>
      <c r="D2045">
        <v>119</v>
      </c>
      <c r="E2045">
        <v>0</v>
      </c>
      <c r="F2045">
        <v>0</v>
      </c>
      <c r="G2045">
        <v>0</v>
      </c>
      <c r="H2045">
        <v>119</v>
      </c>
      <c r="I2045" s="183" t="s">
        <v>1061</v>
      </c>
      <c r="J2045" s="183" t="s">
        <v>12081</v>
      </c>
      <c r="K2045">
        <v>0</v>
      </c>
      <c r="L2045">
        <v>119</v>
      </c>
    </row>
    <row r="2046" spans="1:12">
      <c r="A2046" s="183" t="s">
        <v>3957</v>
      </c>
      <c r="B2046" s="183" t="s">
        <v>1060</v>
      </c>
      <c r="C2046">
        <v>800175180154</v>
      </c>
      <c r="D2046">
        <v>150</v>
      </c>
      <c r="E2046">
        <v>0</v>
      </c>
      <c r="F2046">
        <v>0</v>
      </c>
      <c r="G2046">
        <v>0</v>
      </c>
      <c r="H2046">
        <v>150</v>
      </c>
      <c r="I2046" s="183" t="s">
        <v>1061</v>
      </c>
      <c r="J2046" s="183" t="s">
        <v>12092</v>
      </c>
      <c r="K2046">
        <v>0</v>
      </c>
      <c r="L2046">
        <v>150</v>
      </c>
    </row>
    <row r="2047" spans="1:12">
      <c r="A2047" s="183" t="s">
        <v>698</v>
      </c>
      <c r="B2047" s="183" t="s">
        <v>1072</v>
      </c>
      <c r="C2047">
        <v>90189203</v>
      </c>
      <c r="D2047">
        <v>384</v>
      </c>
      <c r="E2047">
        <v>0</v>
      </c>
      <c r="F2047">
        <v>0</v>
      </c>
      <c r="G2047">
        <v>0</v>
      </c>
      <c r="H2047">
        <v>384</v>
      </c>
      <c r="I2047" s="183" t="s">
        <v>1025</v>
      </c>
      <c r="J2047" s="183" t="s">
        <v>12054</v>
      </c>
      <c r="K2047">
        <v>0</v>
      </c>
      <c r="L2047">
        <v>384</v>
      </c>
    </row>
    <row r="2048" spans="1:12">
      <c r="A2048" s="183" t="s">
        <v>6292</v>
      </c>
      <c r="B2048" s="183" t="s">
        <v>6293</v>
      </c>
      <c r="C2048">
        <v>90189208</v>
      </c>
      <c r="D2048" s="501">
        <v>1075</v>
      </c>
      <c r="E2048">
        <v>0</v>
      </c>
      <c r="F2048">
        <v>0</v>
      </c>
      <c r="G2048">
        <v>0</v>
      </c>
      <c r="H2048" s="501">
        <v>1075</v>
      </c>
      <c r="I2048" s="183" t="s">
        <v>1025</v>
      </c>
      <c r="J2048" s="183" t="s">
        <v>12057</v>
      </c>
      <c r="K2048">
        <v>0</v>
      </c>
      <c r="L2048" s="501">
        <v>1075</v>
      </c>
    </row>
    <row r="2049" spans="1:12">
      <c r="A2049" s="183" t="s">
        <v>5164</v>
      </c>
      <c r="B2049" s="183" t="s">
        <v>5165</v>
      </c>
      <c r="C2049">
        <v>90189212</v>
      </c>
      <c r="D2049" s="501">
        <v>1455</v>
      </c>
      <c r="E2049">
        <v>0</v>
      </c>
      <c r="F2049">
        <v>0</v>
      </c>
      <c r="G2049">
        <v>0</v>
      </c>
      <c r="H2049" s="501">
        <v>1455</v>
      </c>
      <c r="I2049" s="183" t="s">
        <v>1025</v>
      </c>
      <c r="J2049" s="183" t="s">
        <v>12063</v>
      </c>
      <c r="K2049">
        <v>0</v>
      </c>
      <c r="L2049" s="501">
        <v>1455</v>
      </c>
    </row>
    <row r="2050" spans="1:12">
      <c r="A2050" s="183" t="s">
        <v>6246</v>
      </c>
      <c r="B2050" s="183" t="s">
        <v>6247</v>
      </c>
      <c r="C2050">
        <v>90189214</v>
      </c>
      <c r="D2050" s="501">
        <v>2024</v>
      </c>
      <c r="E2050">
        <v>0</v>
      </c>
      <c r="F2050">
        <v>2</v>
      </c>
      <c r="G2050">
        <v>0</v>
      </c>
      <c r="H2050" s="501">
        <v>2026</v>
      </c>
      <c r="I2050" s="183" t="s">
        <v>1025</v>
      </c>
      <c r="J2050" s="183" t="s">
        <v>12057</v>
      </c>
      <c r="K2050">
        <v>0</v>
      </c>
      <c r="L2050" s="501">
        <v>2024</v>
      </c>
    </row>
    <row r="2051" spans="1:12">
      <c r="A2051" s="183" t="s">
        <v>4873</v>
      </c>
      <c r="B2051" s="183" t="s">
        <v>4874</v>
      </c>
      <c r="C2051">
        <v>90189218</v>
      </c>
      <c r="D2051" s="501">
        <v>1071</v>
      </c>
      <c r="E2051">
        <v>0</v>
      </c>
      <c r="F2051">
        <v>0</v>
      </c>
      <c r="G2051">
        <v>0</v>
      </c>
      <c r="H2051" s="501">
        <v>1071</v>
      </c>
      <c r="I2051" s="183" t="s">
        <v>1025</v>
      </c>
      <c r="J2051" s="183" t="s">
        <v>12055</v>
      </c>
      <c r="K2051">
        <v>0</v>
      </c>
      <c r="L2051" s="501">
        <v>1071</v>
      </c>
    </row>
    <row r="2052" spans="1:12">
      <c r="A2052" s="183" t="s">
        <v>6248</v>
      </c>
      <c r="B2052" s="183" t="s">
        <v>6249</v>
      </c>
      <c r="C2052">
        <v>90189222</v>
      </c>
      <c r="D2052" s="501">
        <v>1209</v>
      </c>
      <c r="E2052">
        <v>0</v>
      </c>
      <c r="F2052">
        <v>0</v>
      </c>
      <c r="G2052">
        <v>0</v>
      </c>
      <c r="H2052" s="501">
        <v>1209</v>
      </c>
      <c r="I2052" s="183" t="s">
        <v>1025</v>
      </c>
      <c r="J2052" s="183" t="s">
        <v>12057</v>
      </c>
      <c r="K2052">
        <v>0</v>
      </c>
      <c r="L2052" s="501">
        <v>1209</v>
      </c>
    </row>
    <row r="2053" spans="1:12">
      <c r="A2053" s="183" t="s">
        <v>3391</v>
      </c>
      <c r="B2053" s="183" t="s">
        <v>3392</v>
      </c>
      <c r="C2053">
        <v>90189224</v>
      </c>
      <c r="D2053" s="501">
        <v>1621</v>
      </c>
      <c r="E2053">
        <v>0</v>
      </c>
      <c r="F2053">
        <v>0</v>
      </c>
      <c r="G2053">
        <v>0</v>
      </c>
      <c r="H2053" s="501">
        <v>1621</v>
      </c>
      <c r="I2053" s="183" t="s">
        <v>1025</v>
      </c>
      <c r="J2053" s="183" t="s">
        <v>12052</v>
      </c>
      <c r="K2053">
        <v>0</v>
      </c>
      <c r="L2053" s="501">
        <v>1621</v>
      </c>
    </row>
    <row r="2054" spans="1:12">
      <c r="A2054" s="183" t="s">
        <v>5160</v>
      </c>
      <c r="B2054" s="183" t="s">
        <v>5161</v>
      </c>
      <c r="C2054">
        <v>90189228</v>
      </c>
      <c r="D2054">
        <v>986</v>
      </c>
      <c r="E2054">
        <v>0</v>
      </c>
      <c r="F2054">
        <v>0</v>
      </c>
      <c r="G2054">
        <v>0</v>
      </c>
      <c r="H2054">
        <v>986</v>
      </c>
      <c r="I2054" s="183" t="s">
        <v>1025</v>
      </c>
      <c r="J2054" s="183" t="s">
        <v>12060</v>
      </c>
      <c r="K2054">
        <v>0</v>
      </c>
      <c r="L2054">
        <v>986</v>
      </c>
    </row>
    <row r="2055" spans="1:12">
      <c r="A2055" s="183" t="s">
        <v>6827</v>
      </c>
      <c r="B2055" s="183" t="s">
        <v>6828</v>
      </c>
      <c r="C2055">
        <v>90179207</v>
      </c>
      <c r="D2055">
        <v>138</v>
      </c>
      <c r="E2055">
        <v>0</v>
      </c>
      <c r="F2055">
        <v>0</v>
      </c>
      <c r="G2055">
        <v>0</v>
      </c>
      <c r="H2055">
        <v>138</v>
      </c>
      <c r="I2055" s="183" t="s">
        <v>1067</v>
      </c>
      <c r="J2055" s="183" t="s">
        <v>12081</v>
      </c>
      <c r="K2055">
        <v>0</v>
      </c>
      <c r="L2055">
        <v>138</v>
      </c>
    </row>
    <row r="2056" spans="1:12">
      <c r="A2056" s="183" t="s">
        <v>5235</v>
      </c>
      <c r="B2056" s="183" t="s">
        <v>5236</v>
      </c>
      <c r="C2056">
        <v>90179213</v>
      </c>
      <c r="D2056">
        <v>794</v>
      </c>
      <c r="E2056">
        <v>0</v>
      </c>
      <c r="F2056">
        <v>0</v>
      </c>
      <c r="G2056">
        <v>0</v>
      </c>
      <c r="H2056">
        <v>794</v>
      </c>
      <c r="I2056" s="183" t="s">
        <v>1067</v>
      </c>
      <c r="J2056" s="183" t="s">
        <v>12095</v>
      </c>
      <c r="K2056">
        <v>0</v>
      </c>
      <c r="L2056">
        <v>794</v>
      </c>
    </row>
    <row r="2057" spans="1:12">
      <c r="A2057" s="183" t="s">
        <v>5233</v>
      </c>
      <c r="B2057" s="183" t="s">
        <v>5234</v>
      </c>
      <c r="C2057">
        <v>90179216</v>
      </c>
      <c r="D2057">
        <v>630</v>
      </c>
      <c r="E2057">
        <v>0</v>
      </c>
      <c r="F2057">
        <v>0</v>
      </c>
      <c r="G2057">
        <v>0</v>
      </c>
      <c r="H2057">
        <v>630</v>
      </c>
      <c r="I2057" s="183" t="s">
        <v>1067</v>
      </c>
      <c r="J2057" s="183" t="s">
        <v>12060</v>
      </c>
      <c r="K2057">
        <v>0</v>
      </c>
      <c r="L2057">
        <v>630</v>
      </c>
    </row>
    <row r="2058" spans="1:12">
      <c r="A2058" s="183" t="s">
        <v>4970</v>
      </c>
      <c r="B2058" s="183" t="s">
        <v>4971</v>
      </c>
      <c r="C2058">
        <v>90179232</v>
      </c>
      <c r="D2058">
        <v>548</v>
      </c>
      <c r="E2058">
        <v>0</v>
      </c>
      <c r="F2058">
        <v>1</v>
      </c>
      <c r="G2058">
        <v>0</v>
      </c>
      <c r="H2058">
        <v>549</v>
      </c>
      <c r="I2058" s="183" t="s">
        <v>1067</v>
      </c>
      <c r="J2058" s="183" t="s">
        <v>12053</v>
      </c>
      <c r="K2058">
        <v>0</v>
      </c>
      <c r="L2058">
        <v>548</v>
      </c>
    </row>
    <row r="2059" spans="1:12">
      <c r="A2059" s="183" t="s">
        <v>793</v>
      </c>
      <c r="B2059" s="183" t="s">
        <v>1054</v>
      </c>
      <c r="C2059">
        <v>125125180159</v>
      </c>
      <c r="D2059">
        <v>180</v>
      </c>
      <c r="E2059">
        <v>0</v>
      </c>
      <c r="F2059">
        <v>0</v>
      </c>
      <c r="G2059">
        <v>0</v>
      </c>
      <c r="H2059">
        <v>180</v>
      </c>
      <c r="I2059" s="183" t="s">
        <v>1055</v>
      </c>
      <c r="J2059" s="183" t="s">
        <v>12085</v>
      </c>
      <c r="K2059">
        <v>0</v>
      </c>
      <c r="L2059">
        <v>180</v>
      </c>
    </row>
    <row r="2060" spans="1:12">
      <c r="A2060" s="183" t="s">
        <v>5693</v>
      </c>
      <c r="B2060" s="183" t="s">
        <v>1054</v>
      </c>
      <c r="C2060">
        <v>125175180159</v>
      </c>
      <c r="D2060">
        <v>110</v>
      </c>
      <c r="E2060">
        <v>0</v>
      </c>
      <c r="F2060">
        <v>0</v>
      </c>
      <c r="G2060">
        <v>0</v>
      </c>
      <c r="H2060">
        <v>110</v>
      </c>
      <c r="I2060" s="183" t="s">
        <v>1055</v>
      </c>
      <c r="J2060" s="183" t="s">
        <v>12066</v>
      </c>
      <c r="K2060">
        <v>0</v>
      </c>
      <c r="L2060">
        <v>110</v>
      </c>
    </row>
    <row r="2061" spans="1:12">
      <c r="A2061" s="183" t="s">
        <v>794</v>
      </c>
      <c r="B2061" s="183" t="s">
        <v>1054</v>
      </c>
      <c r="C2061">
        <v>150075180159</v>
      </c>
      <c r="D2061">
        <v>226</v>
      </c>
      <c r="E2061">
        <v>0</v>
      </c>
      <c r="F2061">
        <v>0</v>
      </c>
      <c r="G2061">
        <v>0</v>
      </c>
      <c r="H2061">
        <v>226</v>
      </c>
      <c r="I2061" s="183" t="s">
        <v>1055</v>
      </c>
      <c r="J2061" s="183" t="s">
        <v>12085</v>
      </c>
      <c r="K2061">
        <v>0</v>
      </c>
      <c r="L2061">
        <v>226</v>
      </c>
    </row>
    <row r="2062" spans="1:12">
      <c r="A2062" s="183" t="s">
        <v>2952</v>
      </c>
      <c r="B2062" s="183" t="s">
        <v>1054</v>
      </c>
      <c r="C2062">
        <v>450175180159</v>
      </c>
      <c r="D2062">
        <v>142</v>
      </c>
      <c r="E2062">
        <v>0</v>
      </c>
      <c r="F2062">
        <v>0</v>
      </c>
      <c r="G2062">
        <v>0</v>
      </c>
      <c r="H2062">
        <v>142</v>
      </c>
      <c r="I2062" s="183" t="s">
        <v>1055</v>
      </c>
      <c r="J2062" s="183" t="s">
        <v>12092</v>
      </c>
      <c r="K2062">
        <v>0</v>
      </c>
      <c r="L2062">
        <v>142</v>
      </c>
    </row>
    <row r="2063" spans="1:12">
      <c r="A2063" s="183" t="s">
        <v>795</v>
      </c>
      <c r="B2063" s="183" t="s">
        <v>1054</v>
      </c>
      <c r="C2063">
        <v>575075180159</v>
      </c>
      <c r="D2063">
        <v>437</v>
      </c>
      <c r="E2063">
        <v>0</v>
      </c>
      <c r="F2063">
        <v>0</v>
      </c>
      <c r="G2063">
        <v>0</v>
      </c>
      <c r="H2063">
        <v>437</v>
      </c>
      <c r="I2063" s="183" t="s">
        <v>1055</v>
      </c>
      <c r="J2063" s="183" t="s">
        <v>12053</v>
      </c>
      <c r="K2063">
        <v>0</v>
      </c>
      <c r="L2063">
        <v>437</v>
      </c>
    </row>
    <row r="2064" spans="1:12">
      <c r="A2064" s="183" t="s">
        <v>796</v>
      </c>
      <c r="B2064" s="183" t="s">
        <v>1054</v>
      </c>
      <c r="C2064">
        <v>575125180159</v>
      </c>
      <c r="D2064">
        <v>215</v>
      </c>
      <c r="E2064">
        <v>0</v>
      </c>
      <c r="F2064">
        <v>0</v>
      </c>
      <c r="G2064">
        <v>0</v>
      </c>
      <c r="H2064">
        <v>215</v>
      </c>
      <c r="I2064" s="183" t="s">
        <v>1055</v>
      </c>
      <c r="J2064" s="183" t="s">
        <v>12091</v>
      </c>
      <c r="K2064">
        <v>0</v>
      </c>
      <c r="L2064">
        <v>215</v>
      </c>
    </row>
    <row r="2065" spans="1:12">
      <c r="A2065" s="183" t="s">
        <v>797</v>
      </c>
      <c r="B2065" s="183" t="s">
        <v>1054</v>
      </c>
      <c r="C2065">
        <v>850125180159</v>
      </c>
      <c r="D2065">
        <v>336</v>
      </c>
      <c r="E2065">
        <v>0</v>
      </c>
      <c r="F2065">
        <v>0</v>
      </c>
      <c r="G2065">
        <v>0</v>
      </c>
      <c r="H2065">
        <v>336</v>
      </c>
      <c r="I2065" s="183" t="s">
        <v>1055</v>
      </c>
      <c r="J2065" s="183" t="s">
        <v>12092</v>
      </c>
      <c r="K2065">
        <v>0</v>
      </c>
      <c r="L2065">
        <v>336</v>
      </c>
    </row>
    <row r="2066" spans="1:12">
      <c r="A2066" s="183" t="s">
        <v>1416</v>
      </c>
      <c r="B2066" s="183" t="s">
        <v>1054</v>
      </c>
      <c r="C2066">
        <v>900125180159</v>
      </c>
      <c r="D2066">
        <v>466</v>
      </c>
      <c r="E2066">
        <v>0</v>
      </c>
      <c r="F2066">
        <v>0</v>
      </c>
      <c r="G2066">
        <v>0</v>
      </c>
      <c r="H2066">
        <v>466</v>
      </c>
      <c r="I2066" s="183" t="s">
        <v>1055</v>
      </c>
      <c r="J2066" s="183" t="s">
        <v>12081</v>
      </c>
      <c r="K2066">
        <v>0</v>
      </c>
      <c r="L2066">
        <v>466</v>
      </c>
    </row>
    <row r="2067" spans="1:12">
      <c r="A2067" s="183" t="s">
        <v>5870</v>
      </c>
      <c r="B2067" s="183" t="s">
        <v>5871</v>
      </c>
      <c r="C2067">
        <v>63010212</v>
      </c>
      <c r="D2067">
        <v>396</v>
      </c>
      <c r="E2067">
        <v>0</v>
      </c>
      <c r="F2067">
        <v>0</v>
      </c>
      <c r="G2067">
        <v>0</v>
      </c>
      <c r="H2067">
        <v>396</v>
      </c>
      <c r="I2067" s="183" t="s">
        <v>988</v>
      </c>
      <c r="J2067" s="183" t="s">
        <v>12087</v>
      </c>
      <c r="K2067">
        <v>0</v>
      </c>
      <c r="L2067">
        <v>396</v>
      </c>
    </row>
    <row r="2068" spans="1:12">
      <c r="A2068" s="183" t="s">
        <v>371</v>
      </c>
      <c r="B2068" s="183" t="s">
        <v>1192</v>
      </c>
      <c r="C2068">
        <v>63010220</v>
      </c>
      <c r="D2068">
        <v>126</v>
      </c>
      <c r="E2068">
        <v>0</v>
      </c>
      <c r="F2068">
        <v>0</v>
      </c>
      <c r="G2068">
        <v>0</v>
      </c>
      <c r="H2068">
        <v>126</v>
      </c>
      <c r="I2068" s="183" t="s">
        <v>988</v>
      </c>
      <c r="J2068" s="183" t="s">
        <v>12093</v>
      </c>
      <c r="K2068">
        <v>0</v>
      </c>
      <c r="L2068">
        <v>126</v>
      </c>
    </row>
    <row r="2069" spans="1:12">
      <c r="A2069" s="183" t="s">
        <v>5872</v>
      </c>
      <c r="B2069" s="183" t="s">
        <v>5873</v>
      </c>
      <c r="C2069">
        <v>63010226</v>
      </c>
      <c r="D2069">
        <v>372</v>
      </c>
      <c r="E2069">
        <v>0</v>
      </c>
      <c r="F2069">
        <v>0</v>
      </c>
      <c r="G2069">
        <v>0</v>
      </c>
      <c r="H2069">
        <v>372</v>
      </c>
      <c r="I2069" s="183" t="s">
        <v>988</v>
      </c>
      <c r="J2069" s="183" t="s">
        <v>12092</v>
      </c>
      <c r="K2069">
        <v>0</v>
      </c>
      <c r="L2069">
        <v>372</v>
      </c>
    </row>
    <row r="2070" spans="1:12">
      <c r="A2070" s="183" t="s">
        <v>376</v>
      </c>
      <c r="B2070" s="183" t="s">
        <v>1075</v>
      </c>
      <c r="C2070">
        <v>63010230</v>
      </c>
      <c r="D2070">
        <v>276</v>
      </c>
      <c r="E2070">
        <v>0</v>
      </c>
      <c r="F2070">
        <v>0</v>
      </c>
      <c r="G2070">
        <v>0</v>
      </c>
      <c r="H2070">
        <v>276</v>
      </c>
      <c r="I2070" s="183" t="s">
        <v>988</v>
      </c>
      <c r="J2070" s="183" t="s">
        <v>12095</v>
      </c>
      <c r="K2070">
        <v>0</v>
      </c>
      <c r="L2070">
        <v>276</v>
      </c>
    </row>
    <row r="2071" spans="1:12">
      <c r="A2071" s="183" t="s">
        <v>5116</v>
      </c>
      <c r="B2071" s="183" t="s">
        <v>5117</v>
      </c>
      <c r="C2071">
        <v>90180209</v>
      </c>
      <c r="D2071">
        <v>326</v>
      </c>
      <c r="E2071">
        <v>0</v>
      </c>
      <c r="F2071">
        <v>0</v>
      </c>
      <c r="G2071">
        <v>0</v>
      </c>
      <c r="H2071">
        <v>326</v>
      </c>
      <c r="I2071" s="183" t="s">
        <v>1020</v>
      </c>
      <c r="J2071" s="183" t="s">
        <v>12092</v>
      </c>
      <c r="K2071">
        <v>0</v>
      </c>
      <c r="L2071">
        <v>326</v>
      </c>
    </row>
    <row r="2072" spans="1:12">
      <c r="A2072" s="183" t="s">
        <v>5112</v>
      </c>
      <c r="B2072" s="183" t="s">
        <v>5113</v>
      </c>
      <c r="C2072">
        <v>90180210</v>
      </c>
      <c r="D2072">
        <v>562</v>
      </c>
      <c r="E2072">
        <v>0</v>
      </c>
      <c r="F2072">
        <v>0</v>
      </c>
      <c r="G2072">
        <v>0</v>
      </c>
      <c r="H2072">
        <v>562</v>
      </c>
      <c r="I2072" s="183" t="s">
        <v>1020</v>
      </c>
      <c r="J2072" s="183" t="s">
        <v>12093</v>
      </c>
      <c r="K2072">
        <v>0</v>
      </c>
      <c r="L2072">
        <v>562</v>
      </c>
    </row>
    <row r="2073" spans="1:12">
      <c r="A2073" s="183" t="s">
        <v>4603</v>
      </c>
      <c r="B2073" s="183" t="s">
        <v>4604</v>
      </c>
      <c r="C2073">
        <v>90180223</v>
      </c>
      <c r="D2073">
        <v>231</v>
      </c>
      <c r="E2073">
        <v>0</v>
      </c>
      <c r="F2073">
        <v>0</v>
      </c>
      <c r="G2073">
        <v>0</v>
      </c>
      <c r="H2073">
        <v>231</v>
      </c>
      <c r="I2073" s="183" t="s">
        <v>1020</v>
      </c>
      <c r="J2073" s="183" t="s">
        <v>12059</v>
      </c>
      <c r="K2073">
        <v>0</v>
      </c>
      <c r="L2073">
        <v>231</v>
      </c>
    </row>
    <row r="2074" spans="1:12">
      <c r="A2074" s="183" t="s">
        <v>5114</v>
      </c>
      <c r="B2074" s="183" t="s">
        <v>5115</v>
      </c>
      <c r="C2074">
        <v>90180228</v>
      </c>
      <c r="D2074">
        <v>236</v>
      </c>
      <c r="E2074">
        <v>0</v>
      </c>
      <c r="F2074">
        <v>0</v>
      </c>
      <c r="G2074">
        <v>0</v>
      </c>
      <c r="H2074">
        <v>236</v>
      </c>
      <c r="I2074" s="183" t="s">
        <v>1020</v>
      </c>
      <c r="J2074" s="183" t="s">
        <v>12091</v>
      </c>
      <c r="K2074">
        <v>0</v>
      </c>
      <c r="L2074">
        <v>236</v>
      </c>
    </row>
    <row r="2075" spans="1:12">
      <c r="A2075" s="183" t="s">
        <v>3074</v>
      </c>
      <c r="B2075" s="183" t="s">
        <v>3075</v>
      </c>
      <c r="C2075">
        <v>90180240</v>
      </c>
      <c r="D2075">
        <v>88</v>
      </c>
      <c r="E2075">
        <v>0</v>
      </c>
      <c r="F2075">
        <v>0</v>
      </c>
      <c r="G2075">
        <v>0</v>
      </c>
      <c r="H2075">
        <v>88</v>
      </c>
      <c r="I2075" s="183" t="s">
        <v>1020</v>
      </c>
      <c r="J2075" s="183" t="s">
        <v>12094</v>
      </c>
      <c r="K2075">
        <v>0</v>
      </c>
      <c r="L2075">
        <v>88</v>
      </c>
    </row>
    <row r="2076" spans="1:12">
      <c r="A2076" s="183" t="s">
        <v>5728</v>
      </c>
      <c r="B2076" s="183" t="s">
        <v>8644</v>
      </c>
      <c r="C2076">
        <v>8800322942987</v>
      </c>
      <c r="D2076">
        <v>606</v>
      </c>
      <c r="E2076">
        <v>0</v>
      </c>
      <c r="F2076">
        <v>1</v>
      </c>
      <c r="G2076">
        <v>0</v>
      </c>
      <c r="H2076">
        <v>607</v>
      </c>
      <c r="I2076" s="183" t="s">
        <v>5710</v>
      </c>
      <c r="J2076" s="183" t="s">
        <v>12095</v>
      </c>
      <c r="K2076">
        <v>0</v>
      </c>
      <c r="L2076">
        <v>606</v>
      </c>
    </row>
    <row r="2077" spans="1:12">
      <c r="A2077" s="183" t="s">
        <v>5844</v>
      </c>
      <c r="B2077" s="183" t="s">
        <v>8644</v>
      </c>
      <c r="C2077">
        <v>8800322943144</v>
      </c>
      <c r="D2077">
        <v>670</v>
      </c>
      <c r="E2077">
        <v>0</v>
      </c>
      <c r="F2077">
        <v>1</v>
      </c>
      <c r="G2077">
        <v>0</v>
      </c>
      <c r="H2077">
        <v>671</v>
      </c>
      <c r="I2077" s="183" t="s">
        <v>5710</v>
      </c>
      <c r="J2077" s="183" t="s">
        <v>12048</v>
      </c>
      <c r="K2077">
        <v>0</v>
      </c>
      <c r="L2077">
        <v>670</v>
      </c>
    </row>
    <row r="2078" spans="1:12">
      <c r="A2078" s="183" t="s">
        <v>5729</v>
      </c>
      <c r="B2078" s="183" t="s">
        <v>8646</v>
      </c>
      <c r="C2078">
        <v>8800322943267</v>
      </c>
      <c r="D2078">
        <v>605</v>
      </c>
      <c r="E2078">
        <v>0</v>
      </c>
      <c r="F2078">
        <v>0</v>
      </c>
      <c r="G2078">
        <v>0</v>
      </c>
      <c r="H2078">
        <v>605</v>
      </c>
      <c r="I2078" s="183" t="s">
        <v>5720</v>
      </c>
      <c r="J2078" s="183" t="s">
        <v>12048</v>
      </c>
      <c r="K2078">
        <v>0</v>
      </c>
      <c r="L2078">
        <v>605</v>
      </c>
    </row>
    <row r="2079" spans="1:12">
      <c r="A2079" s="183" t="s">
        <v>5730</v>
      </c>
      <c r="B2079" s="183" t="s">
        <v>8646</v>
      </c>
      <c r="C2079">
        <v>8800322943298</v>
      </c>
      <c r="D2079">
        <v>577</v>
      </c>
      <c r="E2079">
        <v>0</v>
      </c>
      <c r="F2079">
        <v>0</v>
      </c>
      <c r="G2079">
        <v>0</v>
      </c>
      <c r="H2079">
        <v>577</v>
      </c>
      <c r="I2079" s="183" t="s">
        <v>5720</v>
      </c>
      <c r="J2079" s="183" t="s">
        <v>12061</v>
      </c>
      <c r="K2079">
        <v>0</v>
      </c>
      <c r="L2079">
        <v>577</v>
      </c>
    </row>
    <row r="2080" spans="1:12">
      <c r="A2080" s="183" t="s">
        <v>5731</v>
      </c>
      <c r="B2080" s="183" t="s">
        <v>8646</v>
      </c>
      <c r="C2080">
        <v>8800322943304</v>
      </c>
      <c r="D2080">
        <v>578</v>
      </c>
      <c r="E2080">
        <v>0</v>
      </c>
      <c r="F2080">
        <v>0</v>
      </c>
      <c r="G2080">
        <v>0</v>
      </c>
      <c r="H2080">
        <v>578</v>
      </c>
      <c r="I2080" s="183" t="s">
        <v>5720</v>
      </c>
      <c r="J2080" s="183" t="s">
        <v>12057</v>
      </c>
      <c r="K2080">
        <v>0</v>
      </c>
      <c r="L2080">
        <v>578</v>
      </c>
    </row>
    <row r="2081" spans="1:12">
      <c r="A2081" s="183" t="s">
        <v>5845</v>
      </c>
      <c r="B2081" s="183" t="s">
        <v>8646</v>
      </c>
      <c r="C2081">
        <v>8800322943373</v>
      </c>
      <c r="D2081">
        <v>264</v>
      </c>
      <c r="E2081">
        <v>0</v>
      </c>
      <c r="F2081">
        <v>0</v>
      </c>
      <c r="G2081">
        <v>0</v>
      </c>
      <c r="H2081">
        <v>264</v>
      </c>
      <c r="I2081" s="183" t="s">
        <v>5720</v>
      </c>
      <c r="J2081" s="183" t="s">
        <v>12063</v>
      </c>
      <c r="K2081">
        <v>0</v>
      </c>
      <c r="L2081">
        <v>264</v>
      </c>
    </row>
    <row r="2082" spans="1:12">
      <c r="A2082" s="183" t="s">
        <v>6365</v>
      </c>
      <c r="B2082" s="183" t="s">
        <v>6366</v>
      </c>
      <c r="C2082">
        <v>80172215</v>
      </c>
      <c r="D2082">
        <v>425</v>
      </c>
      <c r="E2082">
        <v>0</v>
      </c>
      <c r="F2082">
        <v>0</v>
      </c>
      <c r="G2082">
        <v>0</v>
      </c>
      <c r="H2082">
        <v>425</v>
      </c>
      <c r="I2082" s="183" t="s">
        <v>1058</v>
      </c>
      <c r="J2082" s="183" t="s">
        <v>12067</v>
      </c>
      <c r="K2082">
        <v>0</v>
      </c>
      <c r="L2082">
        <v>425</v>
      </c>
    </row>
    <row r="2083" spans="1:12">
      <c r="A2083" s="183" t="s">
        <v>6444</v>
      </c>
      <c r="B2083" s="183" t="s">
        <v>6445</v>
      </c>
      <c r="C2083">
        <v>80172228</v>
      </c>
      <c r="D2083">
        <v>454</v>
      </c>
      <c r="E2083">
        <v>0</v>
      </c>
      <c r="F2083">
        <v>0</v>
      </c>
      <c r="G2083">
        <v>0</v>
      </c>
      <c r="H2083">
        <v>454</v>
      </c>
      <c r="I2083" s="183" t="s">
        <v>1058</v>
      </c>
      <c r="J2083" s="183" t="s">
        <v>12052</v>
      </c>
      <c r="K2083">
        <v>0</v>
      </c>
      <c r="L2083">
        <v>454</v>
      </c>
    </row>
    <row r="2084" spans="1:12">
      <c r="A2084" s="183" t="s">
        <v>4135</v>
      </c>
      <c r="B2084" s="183" t="s">
        <v>4136</v>
      </c>
      <c r="C2084">
        <v>80172230</v>
      </c>
      <c r="D2084">
        <v>223</v>
      </c>
      <c r="E2084">
        <v>0</v>
      </c>
      <c r="F2084">
        <v>0</v>
      </c>
      <c r="G2084">
        <v>0</v>
      </c>
      <c r="H2084">
        <v>223</v>
      </c>
      <c r="I2084" s="183" t="s">
        <v>1058</v>
      </c>
      <c r="J2084" s="183" t="s">
        <v>12058</v>
      </c>
      <c r="K2084">
        <v>0</v>
      </c>
      <c r="L2084">
        <v>223</v>
      </c>
    </row>
    <row r="2085" spans="1:12">
      <c r="A2085" s="183" t="s">
        <v>6294</v>
      </c>
      <c r="B2085" s="183" t="s">
        <v>6295</v>
      </c>
      <c r="C2085">
        <v>80172236</v>
      </c>
      <c r="D2085">
        <v>146</v>
      </c>
      <c r="E2085">
        <v>0</v>
      </c>
      <c r="F2085">
        <v>0</v>
      </c>
      <c r="G2085">
        <v>0</v>
      </c>
      <c r="H2085">
        <v>146</v>
      </c>
      <c r="I2085" s="183" t="s">
        <v>1058</v>
      </c>
      <c r="J2085" s="183" t="s">
        <v>12056</v>
      </c>
      <c r="K2085">
        <v>0</v>
      </c>
      <c r="L2085">
        <v>146</v>
      </c>
    </row>
    <row r="2086" spans="1:12">
      <c r="A2086" s="183" t="s">
        <v>6855</v>
      </c>
      <c r="B2086" s="183" t="s">
        <v>6338</v>
      </c>
      <c r="C2086">
        <v>8800358433503</v>
      </c>
      <c r="D2086">
        <v>785</v>
      </c>
      <c r="E2086">
        <v>0</v>
      </c>
      <c r="F2086">
        <v>0</v>
      </c>
      <c r="G2086">
        <v>0</v>
      </c>
      <c r="H2086">
        <v>785</v>
      </c>
      <c r="I2086" s="183" t="s">
        <v>6400</v>
      </c>
      <c r="J2086" s="183" t="s">
        <v>12095</v>
      </c>
      <c r="K2086">
        <v>0</v>
      </c>
      <c r="L2086">
        <v>785</v>
      </c>
    </row>
    <row r="2087" spans="1:12">
      <c r="A2087" s="183" t="s">
        <v>7488</v>
      </c>
      <c r="B2087" s="183" t="s">
        <v>6338</v>
      </c>
      <c r="C2087">
        <v>8800358433541</v>
      </c>
      <c r="D2087">
        <v>278</v>
      </c>
      <c r="E2087">
        <v>0</v>
      </c>
      <c r="F2087">
        <v>0</v>
      </c>
      <c r="G2087">
        <v>0</v>
      </c>
      <c r="H2087">
        <v>278</v>
      </c>
      <c r="I2087" s="183" t="s">
        <v>6400</v>
      </c>
      <c r="J2087" s="183" t="s">
        <v>12061</v>
      </c>
      <c r="K2087">
        <v>0</v>
      </c>
      <c r="L2087">
        <v>278</v>
      </c>
    </row>
    <row r="2088" spans="1:12">
      <c r="A2088" s="183" t="s">
        <v>4183</v>
      </c>
      <c r="B2088" s="183" t="s">
        <v>3978</v>
      </c>
      <c r="C2088">
        <v>8800269001051</v>
      </c>
      <c r="D2088">
        <v>78</v>
      </c>
      <c r="E2088">
        <v>0</v>
      </c>
      <c r="F2088">
        <v>0</v>
      </c>
      <c r="G2088">
        <v>0</v>
      </c>
      <c r="H2088">
        <v>78</v>
      </c>
      <c r="I2088" s="183" t="s">
        <v>3979</v>
      </c>
      <c r="J2088" s="183" t="s">
        <v>12048</v>
      </c>
      <c r="K2088">
        <v>0</v>
      </c>
      <c r="L2088">
        <v>78</v>
      </c>
    </row>
    <row r="2089" spans="1:12">
      <c r="A2089" s="183" t="s">
        <v>4081</v>
      </c>
      <c r="B2089" s="183" t="s">
        <v>3978</v>
      </c>
      <c r="C2089">
        <v>8800269001112</v>
      </c>
      <c r="D2089">
        <v>77</v>
      </c>
      <c r="E2089">
        <v>0</v>
      </c>
      <c r="F2089">
        <v>0</v>
      </c>
      <c r="G2089">
        <v>0</v>
      </c>
      <c r="H2089">
        <v>77</v>
      </c>
      <c r="I2089" s="183" t="s">
        <v>3979</v>
      </c>
      <c r="J2089" s="183" t="s">
        <v>12066</v>
      </c>
      <c r="K2089">
        <v>0</v>
      </c>
      <c r="L2089">
        <v>77</v>
      </c>
    </row>
    <row r="2090" spans="1:12">
      <c r="A2090" s="183" t="s">
        <v>4038</v>
      </c>
      <c r="B2090" s="183" t="s">
        <v>3978</v>
      </c>
      <c r="C2090">
        <v>8800269001198</v>
      </c>
      <c r="D2090">
        <v>9</v>
      </c>
      <c r="E2090">
        <v>0</v>
      </c>
      <c r="F2090">
        <v>0</v>
      </c>
      <c r="G2090">
        <v>0</v>
      </c>
      <c r="H2090">
        <v>9</v>
      </c>
      <c r="I2090" s="183" t="s">
        <v>3979</v>
      </c>
      <c r="J2090" s="183" t="s">
        <v>12092</v>
      </c>
      <c r="K2090">
        <v>0</v>
      </c>
      <c r="L2090">
        <v>9</v>
      </c>
    </row>
    <row r="2091" spans="1:12">
      <c r="A2091" s="183" t="s">
        <v>4021</v>
      </c>
      <c r="B2091" s="183" t="s">
        <v>3978</v>
      </c>
      <c r="C2091">
        <v>8800269001372</v>
      </c>
      <c r="D2091">
        <v>47</v>
      </c>
      <c r="E2091">
        <v>0</v>
      </c>
      <c r="F2091">
        <v>0</v>
      </c>
      <c r="G2091">
        <v>0</v>
      </c>
      <c r="H2091">
        <v>47</v>
      </c>
      <c r="I2091" s="183" t="s">
        <v>3979</v>
      </c>
      <c r="J2091" s="183" t="s">
        <v>12085</v>
      </c>
      <c r="K2091">
        <v>0</v>
      </c>
      <c r="L2091">
        <v>47</v>
      </c>
    </row>
    <row r="2092" spans="1:12">
      <c r="A2092" s="183" t="s">
        <v>4642</v>
      </c>
      <c r="B2092" s="183" t="s">
        <v>3978</v>
      </c>
      <c r="C2092">
        <v>8800269001426</v>
      </c>
      <c r="D2092">
        <v>114</v>
      </c>
      <c r="E2092">
        <v>0</v>
      </c>
      <c r="F2092">
        <v>0</v>
      </c>
      <c r="G2092">
        <v>0</v>
      </c>
      <c r="H2092">
        <v>114</v>
      </c>
      <c r="I2092" s="183" t="s">
        <v>3979</v>
      </c>
      <c r="J2092" s="183" t="s">
        <v>12093</v>
      </c>
      <c r="K2092">
        <v>0</v>
      </c>
      <c r="L2092">
        <v>114</v>
      </c>
    </row>
    <row r="2093" spans="1:12">
      <c r="A2093" s="183" t="s">
        <v>4057</v>
      </c>
      <c r="B2093" s="183" t="s">
        <v>3978</v>
      </c>
      <c r="C2093">
        <v>8800269001457</v>
      </c>
      <c r="D2093">
        <v>21</v>
      </c>
      <c r="E2093">
        <v>0</v>
      </c>
      <c r="F2093">
        <v>0</v>
      </c>
      <c r="G2093">
        <v>0</v>
      </c>
      <c r="H2093">
        <v>21</v>
      </c>
      <c r="I2093" s="183" t="s">
        <v>3979</v>
      </c>
      <c r="J2093" s="183" t="s">
        <v>12085</v>
      </c>
      <c r="K2093">
        <v>0</v>
      </c>
      <c r="L2093">
        <v>21</v>
      </c>
    </row>
    <row r="2094" spans="1:12">
      <c r="A2094" s="183" t="s">
        <v>4000</v>
      </c>
      <c r="B2094" s="183" t="s">
        <v>3978</v>
      </c>
      <c r="C2094">
        <v>8800269001662</v>
      </c>
      <c r="D2094">
        <v>95</v>
      </c>
      <c r="E2094">
        <v>0</v>
      </c>
      <c r="F2094">
        <v>0</v>
      </c>
      <c r="G2094">
        <v>0</v>
      </c>
      <c r="H2094">
        <v>95</v>
      </c>
      <c r="I2094" s="183" t="s">
        <v>3979</v>
      </c>
      <c r="J2094" s="183" t="s">
        <v>12092</v>
      </c>
      <c r="K2094">
        <v>0</v>
      </c>
      <c r="L2094">
        <v>95</v>
      </c>
    </row>
    <row r="2095" spans="1:12">
      <c r="A2095" s="183" t="s">
        <v>1598</v>
      </c>
      <c r="B2095" s="183" t="s">
        <v>1599</v>
      </c>
      <c r="C2095">
        <v>65100206</v>
      </c>
      <c r="D2095">
        <v>108</v>
      </c>
      <c r="E2095">
        <v>0</v>
      </c>
      <c r="F2095">
        <v>0</v>
      </c>
      <c r="G2095">
        <v>0</v>
      </c>
      <c r="H2095">
        <v>108</v>
      </c>
      <c r="I2095" s="183" t="s">
        <v>1369</v>
      </c>
      <c r="J2095" s="183" t="s">
        <v>12052</v>
      </c>
      <c r="K2095">
        <v>0</v>
      </c>
      <c r="L2095">
        <v>108</v>
      </c>
    </row>
    <row r="2096" spans="1:12">
      <c r="A2096" s="183" t="s">
        <v>2621</v>
      </c>
      <c r="B2096" s="183" t="s">
        <v>1991</v>
      </c>
      <c r="C2096">
        <v>65100232</v>
      </c>
      <c r="D2096">
        <v>47</v>
      </c>
      <c r="E2096">
        <v>0</v>
      </c>
      <c r="F2096">
        <v>0</v>
      </c>
      <c r="G2096">
        <v>0</v>
      </c>
      <c r="H2096">
        <v>47</v>
      </c>
      <c r="I2096" s="183" t="s">
        <v>1369</v>
      </c>
      <c r="J2096" s="183" t="s">
        <v>12048</v>
      </c>
      <c r="K2096">
        <v>0</v>
      </c>
      <c r="L2096">
        <v>47</v>
      </c>
    </row>
    <row r="2097" spans="1:12">
      <c r="A2097" s="183" t="s">
        <v>2624</v>
      </c>
      <c r="B2097" s="183" t="s">
        <v>2625</v>
      </c>
      <c r="C2097">
        <v>65100236</v>
      </c>
      <c r="D2097">
        <v>43</v>
      </c>
      <c r="E2097">
        <v>0</v>
      </c>
      <c r="F2097">
        <v>0</v>
      </c>
      <c r="G2097">
        <v>0</v>
      </c>
      <c r="H2097">
        <v>43</v>
      </c>
      <c r="I2097" s="183" t="s">
        <v>1369</v>
      </c>
      <c r="J2097" s="183" t="s">
        <v>12092</v>
      </c>
      <c r="K2097">
        <v>0</v>
      </c>
      <c r="L2097">
        <v>43</v>
      </c>
    </row>
    <row r="2098" spans="1:12">
      <c r="A2098" s="183" t="s">
        <v>4745</v>
      </c>
      <c r="B2098" s="183" t="s">
        <v>4718</v>
      </c>
      <c r="C2098">
        <v>8800308225738</v>
      </c>
      <c r="D2098">
        <v>194</v>
      </c>
      <c r="E2098">
        <v>0</v>
      </c>
      <c r="F2098">
        <v>0</v>
      </c>
      <c r="G2098">
        <v>0</v>
      </c>
      <c r="H2098">
        <v>194</v>
      </c>
      <c r="I2098" s="183" t="s">
        <v>4719</v>
      </c>
      <c r="J2098" s="183" t="s">
        <v>12081</v>
      </c>
      <c r="K2098">
        <v>0</v>
      </c>
      <c r="L2098">
        <v>194</v>
      </c>
    </row>
    <row r="2099" spans="1:12">
      <c r="A2099" s="183" t="s">
        <v>4881</v>
      </c>
      <c r="B2099" s="183" t="s">
        <v>4718</v>
      </c>
      <c r="C2099">
        <v>8800308225745</v>
      </c>
      <c r="D2099">
        <v>290</v>
      </c>
      <c r="E2099">
        <v>0</v>
      </c>
      <c r="F2099">
        <v>0</v>
      </c>
      <c r="G2099">
        <v>0</v>
      </c>
      <c r="H2099">
        <v>290</v>
      </c>
      <c r="I2099" s="183" t="s">
        <v>4719</v>
      </c>
      <c r="J2099" s="183" t="s">
        <v>12093</v>
      </c>
      <c r="K2099">
        <v>0</v>
      </c>
      <c r="L2099">
        <v>290</v>
      </c>
    </row>
    <row r="2100" spans="1:12">
      <c r="A2100" s="183" t="s">
        <v>4746</v>
      </c>
      <c r="B2100" s="183" t="s">
        <v>4718</v>
      </c>
      <c r="C2100">
        <v>8800308225875</v>
      </c>
      <c r="D2100">
        <v>164</v>
      </c>
      <c r="E2100">
        <v>0</v>
      </c>
      <c r="F2100">
        <v>0</v>
      </c>
      <c r="G2100">
        <v>0</v>
      </c>
      <c r="H2100">
        <v>164</v>
      </c>
      <c r="I2100" s="183" t="s">
        <v>4719</v>
      </c>
      <c r="J2100" s="183" t="s">
        <v>12081</v>
      </c>
      <c r="K2100">
        <v>0</v>
      </c>
      <c r="L2100">
        <v>164</v>
      </c>
    </row>
    <row r="2101" spans="1:12">
      <c r="A2101" s="183" t="s">
        <v>4747</v>
      </c>
      <c r="B2101" s="183" t="s">
        <v>4718</v>
      </c>
      <c r="C2101">
        <v>8800308225905</v>
      </c>
      <c r="D2101">
        <v>188</v>
      </c>
      <c r="E2101">
        <v>0</v>
      </c>
      <c r="F2101">
        <v>0</v>
      </c>
      <c r="G2101">
        <v>0</v>
      </c>
      <c r="H2101">
        <v>188</v>
      </c>
      <c r="I2101" s="183" t="s">
        <v>4719</v>
      </c>
      <c r="J2101" s="183" t="s">
        <v>12093</v>
      </c>
      <c r="K2101">
        <v>0</v>
      </c>
      <c r="L2101">
        <v>188</v>
      </c>
    </row>
    <row r="2102" spans="1:12">
      <c r="A2102" s="183" t="s">
        <v>4748</v>
      </c>
      <c r="B2102" s="183" t="s">
        <v>4718</v>
      </c>
      <c r="C2102">
        <v>8800308225912</v>
      </c>
      <c r="D2102">
        <v>220</v>
      </c>
      <c r="E2102">
        <v>0</v>
      </c>
      <c r="F2102">
        <v>0</v>
      </c>
      <c r="G2102">
        <v>0</v>
      </c>
      <c r="H2102">
        <v>220</v>
      </c>
      <c r="I2102" s="183" t="s">
        <v>4719</v>
      </c>
      <c r="J2102" s="183" t="s">
        <v>12060</v>
      </c>
      <c r="K2102">
        <v>0</v>
      </c>
      <c r="L2102">
        <v>220</v>
      </c>
    </row>
    <row r="2103" spans="1:12">
      <c r="A2103" s="183" t="s">
        <v>4749</v>
      </c>
      <c r="B2103" s="183" t="s">
        <v>4718</v>
      </c>
      <c r="C2103">
        <v>8800308225936</v>
      </c>
      <c r="D2103">
        <v>206</v>
      </c>
      <c r="E2103">
        <v>0</v>
      </c>
      <c r="F2103">
        <v>0</v>
      </c>
      <c r="G2103">
        <v>0</v>
      </c>
      <c r="H2103">
        <v>206</v>
      </c>
      <c r="I2103" s="183" t="s">
        <v>4719</v>
      </c>
      <c r="J2103" s="183" t="s">
        <v>12048</v>
      </c>
      <c r="K2103">
        <v>0</v>
      </c>
      <c r="L2103">
        <v>206</v>
      </c>
    </row>
    <row r="2104" spans="1:12">
      <c r="A2104" s="183" t="s">
        <v>4709</v>
      </c>
      <c r="B2104" s="183" t="s">
        <v>4673</v>
      </c>
      <c r="C2104">
        <v>8800308226070</v>
      </c>
      <c r="D2104">
        <v>278</v>
      </c>
      <c r="E2104">
        <v>0</v>
      </c>
      <c r="F2104">
        <v>0</v>
      </c>
      <c r="G2104">
        <v>0</v>
      </c>
      <c r="H2104">
        <v>278</v>
      </c>
      <c r="I2104" s="183" t="s">
        <v>4674</v>
      </c>
      <c r="J2104" s="183" t="s">
        <v>12066</v>
      </c>
      <c r="K2104">
        <v>0</v>
      </c>
      <c r="L2104">
        <v>278</v>
      </c>
    </row>
    <row r="2105" spans="1:12">
      <c r="A2105" s="183" t="s">
        <v>4710</v>
      </c>
      <c r="B2105" s="183" t="s">
        <v>4673</v>
      </c>
      <c r="C2105">
        <v>8800308226124</v>
      </c>
      <c r="D2105">
        <v>146</v>
      </c>
      <c r="E2105">
        <v>0</v>
      </c>
      <c r="F2105">
        <v>0</v>
      </c>
      <c r="G2105">
        <v>0</v>
      </c>
      <c r="H2105">
        <v>146</v>
      </c>
      <c r="I2105" s="183" t="s">
        <v>4674</v>
      </c>
      <c r="J2105" s="183" t="s">
        <v>12063</v>
      </c>
      <c r="K2105">
        <v>0</v>
      </c>
      <c r="L2105">
        <v>146</v>
      </c>
    </row>
    <row r="2106" spans="1:12">
      <c r="A2106" s="183" t="s">
        <v>4711</v>
      </c>
      <c r="B2106" s="183" t="s">
        <v>4673</v>
      </c>
      <c r="C2106">
        <v>8800308226131</v>
      </c>
      <c r="D2106">
        <v>175</v>
      </c>
      <c r="E2106">
        <v>0</v>
      </c>
      <c r="F2106">
        <v>0</v>
      </c>
      <c r="G2106">
        <v>0</v>
      </c>
      <c r="H2106">
        <v>175</v>
      </c>
      <c r="I2106" s="183" t="s">
        <v>4674</v>
      </c>
      <c r="J2106" s="183" t="s">
        <v>12048</v>
      </c>
      <c r="K2106">
        <v>0</v>
      </c>
      <c r="L2106">
        <v>175</v>
      </c>
    </row>
    <row r="2107" spans="1:12">
      <c r="A2107" s="183" t="s">
        <v>4750</v>
      </c>
      <c r="B2107" s="183" t="s">
        <v>4685</v>
      </c>
      <c r="C2107">
        <v>8800308226308</v>
      </c>
      <c r="D2107">
        <v>100</v>
      </c>
      <c r="E2107">
        <v>0</v>
      </c>
      <c r="F2107">
        <v>0</v>
      </c>
      <c r="G2107">
        <v>0</v>
      </c>
      <c r="H2107">
        <v>100</v>
      </c>
      <c r="I2107" s="183" t="s">
        <v>4686</v>
      </c>
      <c r="J2107" s="183" t="s">
        <v>12092</v>
      </c>
      <c r="K2107">
        <v>0</v>
      </c>
      <c r="L2107">
        <v>100</v>
      </c>
    </row>
    <row r="2108" spans="1:12">
      <c r="A2108" s="183" t="s">
        <v>4751</v>
      </c>
      <c r="B2108" s="183" t="s">
        <v>4685</v>
      </c>
      <c r="C2108">
        <v>8800308226315</v>
      </c>
      <c r="D2108">
        <v>113</v>
      </c>
      <c r="E2108">
        <v>0</v>
      </c>
      <c r="F2108">
        <v>0</v>
      </c>
      <c r="G2108">
        <v>0</v>
      </c>
      <c r="H2108">
        <v>113</v>
      </c>
      <c r="I2108" s="183" t="s">
        <v>4686</v>
      </c>
      <c r="J2108" s="183" t="s">
        <v>12095</v>
      </c>
      <c r="K2108">
        <v>0</v>
      </c>
      <c r="L2108">
        <v>113</v>
      </c>
    </row>
    <row r="2109" spans="1:12">
      <c r="A2109" s="183" t="s">
        <v>4752</v>
      </c>
      <c r="B2109" s="183" t="s">
        <v>4685</v>
      </c>
      <c r="C2109">
        <v>8800308226346</v>
      </c>
      <c r="D2109">
        <v>146</v>
      </c>
      <c r="E2109">
        <v>0</v>
      </c>
      <c r="F2109">
        <v>0</v>
      </c>
      <c r="G2109">
        <v>0</v>
      </c>
      <c r="H2109">
        <v>146</v>
      </c>
      <c r="I2109" s="183" t="s">
        <v>4686</v>
      </c>
      <c r="J2109" s="183" t="s">
        <v>12093</v>
      </c>
      <c r="K2109">
        <v>0</v>
      </c>
      <c r="L2109">
        <v>146</v>
      </c>
    </row>
    <row r="2110" spans="1:12">
      <c r="A2110" s="183" t="s">
        <v>4712</v>
      </c>
      <c r="B2110" s="183" t="s">
        <v>4676</v>
      </c>
      <c r="C2110">
        <v>8800308226568</v>
      </c>
      <c r="D2110">
        <v>235</v>
      </c>
      <c r="E2110">
        <v>0</v>
      </c>
      <c r="F2110">
        <v>0</v>
      </c>
      <c r="G2110">
        <v>0</v>
      </c>
      <c r="H2110">
        <v>235</v>
      </c>
      <c r="I2110" s="183" t="s">
        <v>4677</v>
      </c>
      <c r="J2110" s="183" t="s">
        <v>12081</v>
      </c>
      <c r="K2110">
        <v>0</v>
      </c>
      <c r="L2110">
        <v>235</v>
      </c>
    </row>
    <row r="2111" spans="1:12">
      <c r="A2111" s="183" t="s">
        <v>4896</v>
      </c>
      <c r="B2111" s="183" t="s">
        <v>4676</v>
      </c>
      <c r="C2111">
        <v>8800308226698</v>
      </c>
      <c r="D2111">
        <v>463</v>
      </c>
      <c r="E2111">
        <v>0</v>
      </c>
      <c r="F2111">
        <v>0</v>
      </c>
      <c r="G2111">
        <v>0</v>
      </c>
      <c r="H2111">
        <v>463</v>
      </c>
      <c r="I2111" s="183" t="s">
        <v>4677</v>
      </c>
      <c r="J2111" s="183" t="s">
        <v>12092</v>
      </c>
      <c r="K2111">
        <v>0</v>
      </c>
      <c r="L2111">
        <v>463</v>
      </c>
    </row>
    <row r="2112" spans="1:12">
      <c r="A2112" s="183" t="s">
        <v>3205</v>
      </c>
      <c r="B2112" s="183" t="s">
        <v>3206</v>
      </c>
      <c r="C2112">
        <v>64002203</v>
      </c>
      <c r="D2112">
        <v>275</v>
      </c>
      <c r="E2112">
        <v>0</v>
      </c>
      <c r="F2112">
        <v>0</v>
      </c>
      <c r="G2112">
        <v>0</v>
      </c>
      <c r="H2112">
        <v>275</v>
      </c>
      <c r="I2112" s="183" t="s">
        <v>984</v>
      </c>
      <c r="J2112" s="183" t="s">
        <v>12091</v>
      </c>
      <c r="K2112">
        <v>0</v>
      </c>
      <c r="L2112">
        <v>275</v>
      </c>
    </row>
    <row r="2113" spans="1:12">
      <c r="A2113" s="183" t="s">
        <v>6092</v>
      </c>
      <c r="B2113" s="183" t="s">
        <v>6093</v>
      </c>
      <c r="C2113">
        <v>64002209</v>
      </c>
      <c r="D2113">
        <v>616</v>
      </c>
      <c r="E2113">
        <v>0</v>
      </c>
      <c r="F2113">
        <v>0</v>
      </c>
      <c r="G2113">
        <v>0</v>
      </c>
      <c r="H2113">
        <v>616</v>
      </c>
      <c r="I2113" s="183" t="s">
        <v>984</v>
      </c>
      <c r="J2113" s="183" t="s">
        <v>12066</v>
      </c>
      <c r="K2113">
        <v>0</v>
      </c>
      <c r="L2113">
        <v>616</v>
      </c>
    </row>
    <row r="2114" spans="1:12">
      <c r="A2114" s="183" t="s">
        <v>6163</v>
      </c>
      <c r="B2114" s="183" t="s">
        <v>6164</v>
      </c>
      <c r="C2114">
        <v>64002218</v>
      </c>
      <c r="D2114">
        <v>191</v>
      </c>
      <c r="E2114">
        <v>0</v>
      </c>
      <c r="F2114">
        <v>0</v>
      </c>
      <c r="G2114">
        <v>0</v>
      </c>
      <c r="H2114">
        <v>191</v>
      </c>
      <c r="I2114" s="183" t="s">
        <v>984</v>
      </c>
      <c r="J2114" s="183" t="s">
        <v>12092</v>
      </c>
      <c r="K2114">
        <v>0</v>
      </c>
      <c r="L2114">
        <v>191</v>
      </c>
    </row>
    <row r="2115" spans="1:12">
      <c r="A2115" s="183" t="s">
        <v>759</v>
      </c>
      <c r="B2115" s="183" t="s">
        <v>1189</v>
      </c>
      <c r="C2115">
        <v>64002238</v>
      </c>
      <c r="D2115">
        <v>507</v>
      </c>
      <c r="E2115">
        <v>0</v>
      </c>
      <c r="F2115">
        <v>0</v>
      </c>
      <c r="G2115">
        <v>0</v>
      </c>
      <c r="H2115">
        <v>507</v>
      </c>
      <c r="I2115" s="183" t="s">
        <v>984</v>
      </c>
      <c r="J2115" s="183" t="s">
        <v>12067</v>
      </c>
      <c r="K2115">
        <v>0</v>
      </c>
      <c r="L2115">
        <v>507</v>
      </c>
    </row>
    <row r="2116" spans="1:12">
      <c r="A2116" s="183" t="s">
        <v>162</v>
      </c>
      <c r="B2116" s="183" t="s">
        <v>1299</v>
      </c>
      <c r="C2116">
        <v>61006206</v>
      </c>
      <c r="D2116">
        <v>373</v>
      </c>
      <c r="E2116">
        <v>0</v>
      </c>
      <c r="F2116">
        <v>0</v>
      </c>
      <c r="G2116">
        <v>0</v>
      </c>
      <c r="H2116">
        <v>373</v>
      </c>
      <c r="I2116" s="183" t="s">
        <v>1083</v>
      </c>
      <c r="J2116" s="183" t="s">
        <v>12057</v>
      </c>
      <c r="K2116">
        <v>0</v>
      </c>
      <c r="L2116">
        <v>373</v>
      </c>
    </row>
    <row r="2117" spans="1:12">
      <c r="A2117" s="183" t="s">
        <v>2978</v>
      </c>
      <c r="B2117" s="183" t="s">
        <v>1221</v>
      </c>
      <c r="C2117">
        <v>61006212</v>
      </c>
      <c r="D2117">
        <v>241</v>
      </c>
      <c r="E2117">
        <v>0</v>
      </c>
      <c r="F2117">
        <v>0</v>
      </c>
      <c r="G2117">
        <v>0</v>
      </c>
      <c r="H2117">
        <v>241</v>
      </c>
      <c r="I2117" s="183" t="s">
        <v>1083</v>
      </c>
      <c r="J2117" s="183" t="s">
        <v>12053</v>
      </c>
      <c r="K2117">
        <v>0</v>
      </c>
      <c r="L2117">
        <v>241</v>
      </c>
    </row>
    <row r="2118" spans="1:12">
      <c r="A2118" s="183" t="s">
        <v>175</v>
      </c>
      <c r="B2118" s="183" t="s">
        <v>1760</v>
      </c>
      <c r="C2118">
        <v>61006226</v>
      </c>
      <c r="D2118">
        <v>313</v>
      </c>
      <c r="E2118">
        <v>0</v>
      </c>
      <c r="F2118">
        <v>3</v>
      </c>
      <c r="G2118">
        <v>0</v>
      </c>
      <c r="H2118">
        <v>316</v>
      </c>
      <c r="I2118" s="183" t="s">
        <v>1083</v>
      </c>
      <c r="J2118" s="183" t="s">
        <v>12058</v>
      </c>
      <c r="K2118">
        <v>0</v>
      </c>
      <c r="L2118">
        <v>313</v>
      </c>
    </row>
    <row r="2119" spans="1:12">
      <c r="A2119" s="183" t="s">
        <v>183</v>
      </c>
      <c r="B2119" s="183" t="s">
        <v>1242</v>
      </c>
      <c r="C2119">
        <v>61005202</v>
      </c>
      <c r="D2119">
        <v>554</v>
      </c>
      <c r="E2119">
        <v>0</v>
      </c>
      <c r="F2119">
        <v>0</v>
      </c>
      <c r="G2119">
        <v>0</v>
      </c>
      <c r="H2119">
        <v>554</v>
      </c>
      <c r="I2119" s="183" t="s">
        <v>1243</v>
      </c>
      <c r="J2119" s="183" t="s">
        <v>12085</v>
      </c>
      <c r="K2119">
        <v>0</v>
      </c>
      <c r="L2119">
        <v>554</v>
      </c>
    </row>
    <row r="2120" spans="1:12">
      <c r="A2120" s="183" t="s">
        <v>184</v>
      </c>
      <c r="B2120" s="183" t="s">
        <v>1242</v>
      </c>
      <c r="C2120">
        <v>61005203</v>
      </c>
      <c r="D2120">
        <v>445</v>
      </c>
      <c r="E2120">
        <v>0</v>
      </c>
      <c r="F2120">
        <v>0</v>
      </c>
      <c r="G2120">
        <v>0</v>
      </c>
      <c r="H2120">
        <v>445</v>
      </c>
      <c r="I2120" s="183" t="s">
        <v>1243</v>
      </c>
      <c r="J2120" s="183" t="s">
        <v>12092</v>
      </c>
      <c r="K2120">
        <v>0</v>
      </c>
      <c r="L2120">
        <v>445</v>
      </c>
    </row>
    <row r="2121" spans="1:12">
      <c r="A2121" s="183" t="s">
        <v>4912</v>
      </c>
      <c r="B2121" s="183" t="s">
        <v>1590</v>
      </c>
      <c r="C2121">
        <v>61005204</v>
      </c>
      <c r="D2121">
        <v>620</v>
      </c>
      <c r="E2121">
        <v>0</v>
      </c>
      <c r="F2121">
        <v>0</v>
      </c>
      <c r="G2121">
        <v>0</v>
      </c>
      <c r="H2121">
        <v>620</v>
      </c>
      <c r="I2121" s="183" t="s">
        <v>1243</v>
      </c>
      <c r="J2121" s="183" t="s">
        <v>12095</v>
      </c>
      <c r="K2121">
        <v>0</v>
      </c>
      <c r="L2121">
        <v>620</v>
      </c>
    </row>
    <row r="2122" spans="1:12">
      <c r="A2122" s="183" t="s">
        <v>185</v>
      </c>
      <c r="B2122" s="183" t="s">
        <v>1590</v>
      </c>
      <c r="C2122">
        <v>61005205</v>
      </c>
      <c r="D2122">
        <v>373</v>
      </c>
      <c r="E2122">
        <v>0</v>
      </c>
      <c r="F2122">
        <v>0</v>
      </c>
      <c r="G2122">
        <v>0</v>
      </c>
      <c r="H2122">
        <v>373</v>
      </c>
      <c r="I2122" s="183" t="s">
        <v>1243</v>
      </c>
      <c r="J2122" s="183" t="s">
        <v>12059</v>
      </c>
      <c r="K2122">
        <v>0</v>
      </c>
      <c r="L2122">
        <v>373</v>
      </c>
    </row>
    <row r="2123" spans="1:12">
      <c r="A2123" s="183" t="s">
        <v>4907</v>
      </c>
      <c r="B2123" s="183" t="s">
        <v>1590</v>
      </c>
      <c r="C2123">
        <v>61005206</v>
      </c>
      <c r="D2123">
        <v>480</v>
      </c>
      <c r="E2123">
        <v>0</v>
      </c>
      <c r="F2123">
        <v>0</v>
      </c>
      <c r="G2123">
        <v>0</v>
      </c>
      <c r="H2123">
        <v>480</v>
      </c>
      <c r="I2123" s="183" t="s">
        <v>1243</v>
      </c>
      <c r="J2123" s="183" t="s">
        <v>12054</v>
      </c>
      <c r="K2123">
        <v>0</v>
      </c>
      <c r="L2123">
        <v>480</v>
      </c>
    </row>
    <row r="2124" spans="1:12">
      <c r="A2124" s="183" t="s">
        <v>4916</v>
      </c>
      <c r="B2124" s="183" t="s">
        <v>1737</v>
      </c>
      <c r="C2124">
        <v>61005209</v>
      </c>
      <c r="D2124">
        <v>360</v>
      </c>
      <c r="E2124">
        <v>0</v>
      </c>
      <c r="F2124">
        <v>0</v>
      </c>
      <c r="G2124">
        <v>0</v>
      </c>
      <c r="H2124">
        <v>360</v>
      </c>
      <c r="I2124" s="183" t="s">
        <v>1243</v>
      </c>
      <c r="J2124" s="183" t="s">
        <v>12056</v>
      </c>
      <c r="K2124">
        <v>0</v>
      </c>
      <c r="L2124">
        <v>360</v>
      </c>
    </row>
    <row r="2125" spans="1:12">
      <c r="A2125" s="183" t="s">
        <v>195</v>
      </c>
      <c r="B2125" s="183" t="s">
        <v>1339</v>
      </c>
      <c r="C2125">
        <v>61005221</v>
      </c>
      <c r="D2125">
        <v>347</v>
      </c>
      <c r="E2125">
        <v>0</v>
      </c>
      <c r="F2125">
        <v>0</v>
      </c>
      <c r="G2125">
        <v>0</v>
      </c>
      <c r="H2125">
        <v>347</v>
      </c>
      <c r="I2125" s="183" t="s">
        <v>1243</v>
      </c>
      <c r="J2125" s="183" t="s">
        <v>12092</v>
      </c>
      <c r="K2125">
        <v>0</v>
      </c>
      <c r="L2125">
        <v>347</v>
      </c>
    </row>
    <row r="2126" spans="1:12">
      <c r="A2126" s="183" t="s">
        <v>7232</v>
      </c>
      <c r="B2126" s="183" t="s">
        <v>7233</v>
      </c>
      <c r="C2126">
        <v>61007210</v>
      </c>
      <c r="D2126">
        <v>285</v>
      </c>
      <c r="E2126">
        <v>0</v>
      </c>
      <c r="F2126">
        <v>0</v>
      </c>
      <c r="G2126">
        <v>0</v>
      </c>
      <c r="H2126">
        <v>285</v>
      </c>
      <c r="I2126" s="183" t="s">
        <v>1430</v>
      </c>
      <c r="J2126" s="183" t="s">
        <v>12055</v>
      </c>
      <c r="K2126">
        <v>0</v>
      </c>
      <c r="L2126">
        <v>285</v>
      </c>
    </row>
    <row r="2127" spans="1:12">
      <c r="A2127" s="183" t="s">
        <v>212</v>
      </c>
      <c r="B2127" s="183" t="s">
        <v>2373</v>
      </c>
      <c r="C2127">
        <v>61007215</v>
      </c>
      <c r="D2127">
        <v>436</v>
      </c>
      <c r="E2127">
        <v>0</v>
      </c>
      <c r="F2127">
        <v>0</v>
      </c>
      <c r="G2127">
        <v>0</v>
      </c>
      <c r="H2127">
        <v>436</v>
      </c>
      <c r="I2127" s="183" t="s">
        <v>1430</v>
      </c>
      <c r="J2127" s="183" t="s">
        <v>12050</v>
      </c>
      <c r="K2127">
        <v>0</v>
      </c>
      <c r="L2127">
        <v>436</v>
      </c>
    </row>
    <row r="2128" spans="1:12">
      <c r="A2128" s="183" t="s">
        <v>2590</v>
      </c>
      <c r="B2128" s="183" t="s">
        <v>2591</v>
      </c>
      <c r="C2128">
        <v>61008228</v>
      </c>
      <c r="D2128">
        <v>401</v>
      </c>
      <c r="E2128">
        <v>0</v>
      </c>
      <c r="F2128">
        <v>0</v>
      </c>
      <c r="G2128">
        <v>0</v>
      </c>
      <c r="H2128">
        <v>401</v>
      </c>
      <c r="I2128" s="183" t="s">
        <v>1267</v>
      </c>
      <c r="J2128" s="183" t="s">
        <v>12067</v>
      </c>
      <c r="K2128">
        <v>0</v>
      </c>
      <c r="L2128">
        <v>401</v>
      </c>
    </row>
    <row r="2129" spans="1:12">
      <c r="A2129" s="183" t="s">
        <v>4919</v>
      </c>
      <c r="B2129" s="183" t="s">
        <v>4920</v>
      </c>
      <c r="C2129">
        <v>61008230</v>
      </c>
      <c r="D2129">
        <v>429</v>
      </c>
      <c r="E2129">
        <v>0</v>
      </c>
      <c r="F2129">
        <v>0</v>
      </c>
      <c r="G2129">
        <v>0</v>
      </c>
      <c r="H2129">
        <v>429</v>
      </c>
      <c r="I2129" s="183" t="s">
        <v>1267</v>
      </c>
      <c r="J2129" s="183" t="s">
        <v>12067</v>
      </c>
      <c r="K2129">
        <v>0</v>
      </c>
      <c r="L2129">
        <v>429</v>
      </c>
    </row>
    <row r="2130" spans="1:12">
      <c r="A2130" s="183" t="s">
        <v>6268</v>
      </c>
      <c r="B2130" s="183" t="s">
        <v>6269</v>
      </c>
      <c r="C2130">
        <v>64004204</v>
      </c>
      <c r="D2130">
        <v>316</v>
      </c>
      <c r="E2130">
        <v>0</v>
      </c>
      <c r="F2130">
        <v>0</v>
      </c>
      <c r="G2130">
        <v>0</v>
      </c>
      <c r="H2130">
        <v>316</v>
      </c>
      <c r="I2130" s="183" t="s">
        <v>1051</v>
      </c>
      <c r="J2130" s="183" t="s">
        <v>12059</v>
      </c>
      <c r="K2130">
        <v>0</v>
      </c>
      <c r="L2130">
        <v>316</v>
      </c>
    </row>
    <row r="2131" spans="1:12">
      <c r="A2131" s="183" t="s">
        <v>1292</v>
      </c>
      <c r="B2131" s="183" t="s">
        <v>1293</v>
      </c>
      <c r="C2131">
        <v>64004209</v>
      </c>
      <c r="D2131">
        <v>379</v>
      </c>
      <c r="E2131">
        <v>0</v>
      </c>
      <c r="F2131">
        <v>0</v>
      </c>
      <c r="G2131">
        <v>0</v>
      </c>
      <c r="H2131">
        <v>379</v>
      </c>
      <c r="I2131" s="183" t="s">
        <v>1051</v>
      </c>
      <c r="J2131" s="183" t="s">
        <v>12048</v>
      </c>
      <c r="K2131">
        <v>0</v>
      </c>
      <c r="L2131">
        <v>379</v>
      </c>
    </row>
    <row r="2132" spans="1:12">
      <c r="A2132" s="183" t="s">
        <v>3411</v>
      </c>
      <c r="B2132" s="183" t="s">
        <v>3412</v>
      </c>
      <c r="C2132">
        <v>64004211</v>
      </c>
      <c r="D2132">
        <v>248</v>
      </c>
      <c r="E2132">
        <v>0</v>
      </c>
      <c r="F2132">
        <v>0</v>
      </c>
      <c r="G2132">
        <v>0</v>
      </c>
      <c r="H2132">
        <v>248</v>
      </c>
      <c r="I2132" s="183" t="s">
        <v>1051</v>
      </c>
      <c r="J2132" s="183" t="s">
        <v>12054</v>
      </c>
      <c r="K2132">
        <v>0</v>
      </c>
      <c r="L2132">
        <v>248</v>
      </c>
    </row>
    <row r="2133" spans="1:12">
      <c r="A2133" s="183" t="s">
        <v>4100</v>
      </c>
      <c r="B2133" s="183" t="s">
        <v>3978</v>
      </c>
      <c r="C2133">
        <v>8800269001952</v>
      </c>
      <c r="D2133">
        <v>5</v>
      </c>
      <c r="E2133">
        <v>0</v>
      </c>
      <c r="F2133">
        <v>0</v>
      </c>
      <c r="G2133">
        <v>0</v>
      </c>
      <c r="H2133">
        <v>5</v>
      </c>
      <c r="I2133" s="183" t="s">
        <v>3979</v>
      </c>
      <c r="J2133" s="183" t="s">
        <v>12063</v>
      </c>
      <c r="K2133">
        <v>0</v>
      </c>
      <c r="L2133">
        <v>5</v>
      </c>
    </row>
    <row r="2134" spans="1:12">
      <c r="A2134" s="183" t="s">
        <v>4246</v>
      </c>
      <c r="B2134" s="183" t="s">
        <v>3978</v>
      </c>
      <c r="C2134">
        <v>8800269001990</v>
      </c>
      <c r="D2134">
        <v>4</v>
      </c>
      <c r="E2134">
        <v>0</v>
      </c>
      <c r="F2134">
        <v>0</v>
      </c>
      <c r="G2134">
        <v>0</v>
      </c>
      <c r="H2134">
        <v>4</v>
      </c>
      <c r="I2134" s="183" t="s">
        <v>3979</v>
      </c>
      <c r="J2134" s="183" t="s">
        <v>12067</v>
      </c>
      <c r="K2134">
        <v>0</v>
      </c>
      <c r="L2134">
        <v>4</v>
      </c>
    </row>
    <row r="2135" spans="1:12">
      <c r="A2135" s="183" t="s">
        <v>1498</v>
      </c>
      <c r="B2135" s="183" t="s">
        <v>1499</v>
      </c>
      <c r="C2135">
        <v>65100203</v>
      </c>
      <c r="D2135">
        <v>118</v>
      </c>
      <c r="E2135">
        <v>0</v>
      </c>
      <c r="F2135">
        <v>0</v>
      </c>
      <c r="G2135">
        <v>0</v>
      </c>
      <c r="H2135">
        <v>118</v>
      </c>
      <c r="I2135" s="183" t="s">
        <v>1369</v>
      </c>
      <c r="J2135" s="183" t="s">
        <v>12066</v>
      </c>
      <c r="K2135">
        <v>0</v>
      </c>
      <c r="L2135">
        <v>118</v>
      </c>
    </row>
    <row r="2136" spans="1:12">
      <c r="A2136" s="183" t="s">
        <v>1645</v>
      </c>
      <c r="B2136" s="183" t="s">
        <v>1646</v>
      </c>
      <c r="C2136">
        <v>65100208</v>
      </c>
      <c r="D2136">
        <v>59</v>
      </c>
      <c r="E2136">
        <v>0</v>
      </c>
      <c r="F2136">
        <v>0</v>
      </c>
      <c r="G2136">
        <v>0</v>
      </c>
      <c r="H2136">
        <v>59</v>
      </c>
      <c r="I2136" s="183" t="s">
        <v>1369</v>
      </c>
      <c r="J2136" s="183" t="s">
        <v>12055</v>
      </c>
      <c r="K2136">
        <v>0</v>
      </c>
      <c r="L2136">
        <v>59</v>
      </c>
    </row>
    <row r="2137" spans="1:12">
      <c r="A2137" s="183" t="s">
        <v>2675</v>
      </c>
      <c r="B2137" s="183" t="s">
        <v>1646</v>
      </c>
      <c r="C2137">
        <v>65100209</v>
      </c>
      <c r="D2137">
        <v>154</v>
      </c>
      <c r="E2137">
        <v>0</v>
      </c>
      <c r="F2137">
        <v>0</v>
      </c>
      <c r="G2137">
        <v>0</v>
      </c>
      <c r="H2137">
        <v>154</v>
      </c>
      <c r="I2137" s="183" t="s">
        <v>1369</v>
      </c>
      <c r="J2137" s="183" t="s">
        <v>12050</v>
      </c>
      <c r="K2137">
        <v>0</v>
      </c>
      <c r="L2137">
        <v>154</v>
      </c>
    </row>
    <row r="2138" spans="1:12">
      <c r="A2138" s="183" t="s">
        <v>2305</v>
      </c>
      <c r="B2138" s="183" t="s">
        <v>1646</v>
      </c>
      <c r="C2138">
        <v>65100211</v>
      </c>
      <c r="D2138">
        <v>21</v>
      </c>
      <c r="E2138">
        <v>0</v>
      </c>
      <c r="F2138">
        <v>0</v>
      </c>
      <c r="G2138">
        <v>0</v>
      </c>
      <c r="H2138">
        <v>21</v>
      </c>
      <c r="I2138" s="183" t="s">
        <v>1369</v>
      </c>
      <c r="J2138" s="183" t="s">
        <v>12066</v>
      </c>
      <c r="K2138">
        <v>0</v>
      </c>
      <c r="L2138">
        <v>21</v>
      </c>
    </row>
    <row r="2139" spans="1:12">
      <c r="A2139" s="183" t="s">
        <v>2303</v>
      </c>
      <c r="B2139" s="183" t="s">
        <v>1837</v>
      </c>
      <c r="C2139">
        <v>65100215</v>
      </c>
      <c r="D2139">
        <v>105</v>
      </c>
      <c r="E2139">
        <v>0</v>
      </c>
      <c r="F2139">
        <v>0</v>
      </c>
      <c r="G2139">
        <v>0</v>
      </c>
      <c r="H2139">
        <v>105</v>
      </c>
      <c r="I2139" s="183" t="s">
        <v>1369</v>
      </c>
      <c r="J2139" s="183" t="s">
        <v>12058</v>
      </c>
      <c r="K2139">
        <v>0</v>
      </c>
      <c r="L2139">
        <v>105</v>
      </c>
    </row>
    <row r="2140" spans="1:12">
      <c r="A2140" s="183" t="s">
        <v>2153</v>
      </c>
      <c r="B2140" s="183" t="s">
        <v>1862</v>
      </c>
      <c r="C2140">
        <v>65100226</v>
      </c>
      <c r="D2140">
        <v>35</v>
      </c>
      <c r="E2140">
        <v>0</v>
      </c>
      <c r="F2140">
        <v>0</v>
      </c>
      <c r="G2140">
        <v>0</v>
      </c>
      <c r="H2140">
        <v>35</v>
      </c>
      <c r="I2140" s="183" t="s">
        <v>1369</v>
      </c>
      <c r="J2140" s="183" t="s">
        <v>12057</v>
      </c>
      <c r="K2140">
        <v>0</v>
      </c>
      <c r="L2140">
        <v>35</v>
      </c>
    </row>
    <row r="2141" spans="1:12">
      <c r="A2141" s="183" t="s">
        <v>1990</v>
      </c>
      <c r="B2141" s="183" t="s">
        <v>1991</v>
      </c>
      <c r="C2141">
        <v>65100234</v>
      </c>
      <c r="D2141">
        <v>48</v>
      </c>
      <c r="E2141">
        <v>0</v>
      </c>
      <c r="F2141">
        <v>0</v>
      </c>
      <c r="G2141">
        <v>0</v>
      </c>
      <c r="H2141">
        <v>48</v>
      </c>
      <c r="I2141" s="183" t="s">
        <v>1369</v>
      </c>
      <c r="J2141" s="183" t="s">
        <v>12095</v>
      </c>
      <c r="K2141">
        <v>0</v>
      </c>
      <c r="L2141">
        <v>48</v>
      </c>
    </row>
    <row r="2142" spans="1:12">
      <c r="A2142" s="183" t="s">
        <v>4728</v>
      </c>
      <c r="B2142" s="183" t="s">
        <v>4718</v>
      </c>
      <c r="C2142">
        <v>8800308225813</v>
      </c>
      <c r="D2142">
        <v>183</v>
      </c>
      <c r="E2142">
        <v>0</v>
      </c>
      <c r="F2142">
        <v>0</v>
      </c>
      <c r="G2142">
        <v>0</v>
      </c>
      <c r="H2142">
        <v>183</v>
      </c>
      <c r="I2142" s="183" t="s">
        <v>4719</v>
      </c>
      <c r="J2142" s="183" t="s">
        <v>12060</v>
      </c>
      <c r="K2142">
        <v>0</v>
      </c>
      <c r="L2142">
        <v>183</v>
      </c>
    </row>
    <row r="2143" spans="1:12">
      <c r="A2143" s="183" t="s">
        <v>4729</v>
      </c>
      <c r="B2143" s="183" t="s">
        <v>4718</v>
      </c>
      <c r="C2143">
        <v>8800308225868</v>
      </c>
      <c r="D2143">
        <v>148</v>
      </c>
      <c r="E2143">
        <v>0</v>
      </c>
      <c r="F2143">
        <v>0</v>
      </c>
      <c r="G2143">
        <v>0</v>
      </c>
      <c r="H2143">
        <v>148</v>
      </c>
      <c r="I2143" s="183" t="s">
        <v>4719</v>
      </c>
      <c r="J2143" s="183" t="s">
        <v>12093</v>
      </c>
      <c r="K2143">
        <v>0</v>
      </c>
      <c r="L2143">
        <v>148</v>
      </c>
    </row>
    <row r="2144" spans="1:12">
      <c r="A2144" s="183" t="s">
        <v>4713</v>
      </c>
      <c r="B2144" s="183" t="s">
        <v>4673</v>
      </c>
      <c r="C2144">
        <v>8800308225981</v>
      </c>
      <c r="D2144">
        <v>126</v>
      </c>
      <c r="E2144">
        <v>0</v>
      </c>
      <c r="F2144">
        <v>0</v>
      </c>
      <c r="G2144">
        <v>0</v>
      </c>
      <c r="H2144">
        <v>126</v>
      </c>
      <c r="I2144" s="183" t="s">
        <v>4674</v>
      </c>
      <c r="J2144" s="183" t="s">
        <v>12087</v>
      </c>
      <c r="K2144">
        <v>0</v>
      </c>
      <c r="L2144">
        <v>126</v>
      </c>
    </row>
    <row r="2145" spans="1:12">
      <c r="A2145" s="183" t="s">
        <v>5772</v>
      </c>
      <c r="B2145" s="183" t="s">
        <v>4673</v>
      </c>
      <c r="C2145">
        <v>8800308226216</v>
      </c>
      <c r="D2145">
        <v>117</v>
      </c>
      <c r="E2145">
        <v>0</v>
      </c>
      <c r="F2145">
        <v>0</v>
      </c>
      <c r="G2145">
        <v>0</v>
      </c>
      <c r="H2145">
        <v>117</v>
      </c>
      <c r="I2145" s="183" t="s">
        <v>4674</v>
      </c>
      <c r="J2145" s="183" t="s">
        <v>12092</v>
      </c>
      <c r="K2145">
        <v>0</v>
      </c>
      <c r="L2145">
        <v>117</v>
      </c>
    </row>
    <row r="2146" spans="1:12">
      <c r="A2146" s="183" t="s">
        <v>4730</v>
      </c>
      <c r="B2146" s="183" t="s">
        <v>4685</v>
      </c>
      <c r="C2146">
        <v>8800308226261</v>
      </c>
      <c r="D2146">
        <v>366</v>
      </c>
      <c r="E2146">
        <v>0</v>
      </c>
      <c r="F2146">
        <v>0</v>
      </c>
      <c r="G2146">
        <v>0</v>
      </c>
      <c r="H2146">
        <v>366</v>
      </c>
      <c r="I2146" s="183" t="s">
        <v>4686</v>
      </c>
      <c r="J2146" s="183" t="s">
        <v>12092</v>
      </c>
      <c r="K2146">
        <v>0</v>
      </c>
      <c r="L2146">
        <v>366</v>
      </c>
    </row>
    <row r="2147" spans="1:12">
      <c r="A2147" s="183" t="s">
        <v>4714</v>
      </c>
      <c r="B2147" s="183" t="s">
        <v>4685</v>
      </c>
      <c r="C2147">
        <v>8800308226278</v>
      </c>
      <c r="D2147">
        <v>140</v>
      </c>
      <c r="E2147">
        <v>0</v>
      </c>
      <c r="F2147">
        <v>0</v>
      </c>
      <c r="G2147">
        <v>0</v>
      </c>
      <c r="H2147">
        <v>140</v>
      </c>
      <c r="I2147" s="183" t="s">
        <v>4686</v>
      </c>
      <c r="J2147" s="183" t="s">
        <v>12048</v>
      </c>
      <c r="K2147">
        <v>0</v>
      </c>
      <c r="L2147">
        <v>140</v>
      </c>
    </row>
    <row r="2148" spans="1:12">
      <c r="A2148" s="183" t="s">
        <v>4731</v>
      </c>
      <c r="B2148" s="183" t="s">
        <v>4685</v>
      </c>
      <c r="C2148">
        <v>8800308226360</v>
      </c>
      <c r="D2148">
        <v>153</v>
      </c>
      <c r="E2148">
        <v>0</v>
      </c>
      <c r="F2148">
        <v>0</v>
      </c>
      <c r="G2148">
        <v>0</v>
      </c>
      <c r="H2148">
        <v>153</v>
      </c>
      <c r="I2148" s="183" t="s">
        <v>4686</v>
      </c>
      <c r="J2148" s="183" t="s">
        <v>12092</v>
      </c>
      <c r="K2148">
        <v>0</v>
      </c>
      <c r="L2148">
        <v>153</v>
      </c>
    </row>
    <row r="2149" spans="1:12">
      <c r="A2149" s="183" t="s">
        <v>4894</v>
      </c>
      <c r="B2149" s="183" t="s">
        <v>4676</v>
      </c>
      <c r="C2149">
        <v>8800308226506</v>
      </c>
      <c r="D2149">
        <v>371</v>
      </c>
      <c r="E2149">
        <v>0</v>
      </c>
      <c r="F2149">
        <v>0</v>
      </c>
      <c r="G2149">
        <v>0</v>
      </c>
      <c r="H2149">
        <v>371</v>
      </c>
      <c r="I2149" s="183" t="s">
        <v>4677</v>
      </c>
      <c r="J2149" s="183" t="s">
        <v>12066</v>
      </c>
      <c r="K2149">
        <v>0</v>
      </c>
      <c r="L2149">
        <v>371</v>
      </c>
    </row>
    <row r="2150" spans="1:12">
      <c r="A2150" s="183" t="s">
        <v>4715</v>
      </c>
      <c r="B2150" s="183" t="s">
        <v>4676</v>
      </c>
      <c r="C2150">
        <v>8800308226575</v>
      </c>
      <c r="D2150">
        <v>212</v>
      </c>
      <c r="E2150">
        <v>0</v>
      </c>
      <c r="F2150">
        <v>0</v>
      </c>
      <c r="G2150">
        <v>0</v>
      </c>
      <c r="H2150">
        <v>212</v>
      </c>
      <c r="I2150" s="183" t="s">
        <v>4677</v>
      </c>
      <c r="J2150" s="183" t="s">
        <v>12053</v>
      </c>
      <c r="K2150">
        <v>0</v>
      </c>
      <c r="L2150">
        <v>212</v>
      </c>
    </row>
    <row r="2151" spans="1:12">
      <c r="A2151" s="183" t="s">
        <v>4716</v>
      </c>
      <c r="B2151" s="183" t="s">
        <v>4676</v>
      </c>
      <c r="C2151">
        <v>8800308226681</v>
      </c>
      <c r="D2151">
        <v>169</v>
      </c>
      <c r="E2151">
        <v>0</v>
      </c>
      <c r="F2151">
        <v>0</v>
      </c>
      <c r="G2151">
        <v>0</v>
      </c>
      <c r="H2151">
        <v>169</v>
      </c>
      <c r="I2151" s="183" t="s">
        <v>4677</v>
      </c>
      <c r="J2151" s="183" t="s">
        <v>12094</v>
      </c>
      <c r="K2151">
        <v>0</v>
      </c>
      <c r="L2151">
        <v>169</v>
      </c>
    </row>
    <row r="2152" spans="1:12">
      <c r="A2152" s="183" t="s">
        <v>6086</v>
      </c>
      <c r="B2152" s="183" t="s">
        <v>6087</v>
      </c>
      <c r="C2152">
        <v>64002210</v>
      </c>
      <c r="D2152">
        <v>408</v>
      </c>
      <c r="E2152">
        <v>0</v>
      </c>
      <c r="F2152">
        <v>1</v>
      </c>
      <c r="G2152">
        <v>0</v>
      </c>
      <c r="H2152">
        <v>409</v>
      </c>
      <c r="I2152" s="183" t="s">
        <v>984</v>
      </c>
      <c r="J2152" s="183" t="s">
        <v>12095</v>
      </c>
      <c r="K2152">
        <v>0</v>
      </c>
      <c r="L2152">
        <v>408</v>
      </c>
    </row>
    <row r="2153" spans="1:12">
      <c r="A2153" s="183" t="s">
        <v>5768</v>
      </c>
      <c r="B2153" s="183" t="s">
        <v>5769</v>
      </c>
      <c r="C2153">
        <v>64002214</v>
      </c>
      <c r="D2153">
        <v>664</v>
      </c>
      <c r="E2153">
        <v>0</v>
      </c>
      <c r="F2153">
        <v>0</v>
      </c>
      <c r="G2153">
        <v>0</v>
      </c>
      <c r="H2153">
        <v>664</v>
      </c>
      <c r="I2153" s="183" t="s">
        <v>984</v>
      </c>
      <c r="J2153" s="183" t="s">
        <v>12067</v>
      </c>
      <c r="K2153">
        <v>0</v>
      </c>
      <c r="L2153">
        <v>664</v>
      </c>
    </row>
    <row r="2154" spans="1:12">
      <c r="A2154" s="183" t="s">
        <v>6171</v>
      </c>
      <c r="B2154" s="183" t="s">
        <v>6172</v>
      </c>
      <c r="C2154">
        <v>64002228</v>
      </c>
      <c r="D2154">
        <v>590</v>
      </c>
      <c r="E2154">
        <v>0</v>
      </c>
      <c r="F2154">
        <v>0</v>
      </c>
      <c r="G2154">
        <v>0</v>
      </c>
      <c r="H2154">
        <v>590</v>
      </c>
      <c r="I2154" s="183" t="s">
        <v>984</v>
      </c>
      <c r="J2154" s="183" t="s">
        <v>12093</v>
      </c>
      <c r="K2154">
        <v>0</v>
      </c>
      <c r="L2154">
        <v>590</v>
      </c>
    </row>
    <row r="2155" spans="1:12">
      <c r="A2155" s="183" t="s">
        <v>758</v>
      </c>
      <c r="B2155" s="183" t="s">
        <v>1213</v>
      </c>
      <c r="C2155">
        <v>64002236</v>
      </c>
      <c r="D2155">
        <v>395</v>
      </c>
      <c r="E2155">
        <v>0</v>
      </c>
      <c r="F2155">
        <v>0</v>
      </c>
      <c r="G2155">
        <v>0</v>
      </c>
      <c r="H2155">
        <v>395</v>
      </c>
      <c r="I2155" s="183" t="s">
        <v>984</v>
      </c>
      <c r="J2155" s="183" t="s">
        <v>12052</v>
      </c>
      <c r="K2155">
        <v>0</v>
      </c>
      <c r="L2155">
        <v>395</v>
      </c>
    </row>
    <row r="2156" spans="1:12">
      <c r="A2156" s="183" t="s">
        <v>159</v>
      </c>
      <c r="B2156" s="183" t="s">
        <v>1082</v>
      </c>
      <c r="C2156">
        <v>61006203</v>
      </c>
      <c r="D2156">
        <v>309</v>
      </c>
      <c r="E2156">
        <v>0</v>
      </c>
      <c r="F2156">
        <v>5</v>
      </c>
      <c r="G2156">
        <v>0</v>
      </c>
      <c r="H2156">
        <v>314</v>
      </c>
      <c r="I2156" s="183" t="s">
        <v>1083</v>
      </c>
      <c r="J2156" s="183" t="s">
        <v>12052</v>
      </c>
      <c r="K2156">
        <v>0</v>
      </c>
      <c r="L2156">
        <v>309</v>
      </c>
    </row>
    <row r="2157" spans="1:12">
      <c r="A2157" s="183" t="s">
        <v>160</v>
      </c>
      <c r="B2157" s="183" t="s">
        <v>1299</v>
      </c>
      <c r="C2157">
        <v>61006204</v>
      </c>
      <c r="D2157">
        <v>271</v>
      </c>
      <c r="E2157">
        <v>0</v>
      </c>
      <c r="F2157">
        <v>0</v>
      </c>
      <c r="G2157">
        <v>0</v>
      </c>
      <c r="H2157">
        <v>271</v>
      </c>
      <c r="I2157" s="183" t="s">
        <v>1083</v>
      </c>
      <c r="J2157" s="183" t="s">
        <v>12054</v>
      </c>
      <c r="K2157">
        <v>0</v>
      </c>
      <c r="L2157">
        <v>271</v>
      </c>
    </row>
    <row r="2158" spans="1:12">
      <c r="A2158" s="183" t="s">
        <v>164</v>
      </c>
      <c r="B2158" s="183" t="s">
        <v>1497</v>
      </c>
      <c r="C2158">
        <v>61006208</v>
      </c>
      <c r="D2158">
        <v>495</v>
      </c>
      <c r="E2158">
        <v>0</v>
      </c>
      <c r="F2158">
        <v>0</v>
      </c>
      <c r="G2158">
        <v>0</v>
      </c>
      <c r="H2158">
        <v>495</v>
      </c>
      <c r="I2158" s="183" t="s">
        <v>1083</v>
      </c>
      <c r="J2158" s="183" t="s">
        <v>12091</v>
      </c>
      <c r="K2158">
        <v>0</v>
      </c>
      <c r="L2158">
        <v>495</v>
      </c>
    </row>
    <row r="2159" spans="1:12">
      <c r="A2159" s="183" t="s">
        <v>168</v>
      </c>
      <c r="B2159" s="183" t="s">
        <v>1221</v>
      </c>
      <c r="C2159">
        <v>61006215</v>
      </c>
      <c r="D2159">
        <v>319</v>
      </c>
      <c r="E2159">
        <v>0</v>
      </c>
      <c r="F2159">
        <v>0</v>
      </c>
      <c r="G2159">
        <v>0</v>
      </c>
      <c r="H2159">
        <v>319</v>
      </c>
      <c r="I2159" s="183" t="s">
        <v>1083</v>
      </c>
      <c r="J2159" s="183" t="s">
        <v>12054</v>
      </c>
      <c r="K2159">
        <v>0</v>
      </c>
      <c r="L2159">
        <v>319</v>
      </c>
    </row>
    <row r="2160" spans="1:12">
      <c r="A2160" s="183" t="s">
        <v>170</v>
      </c>
      <c r="B2160" s="183" t="s">
        <v>1395</v>
      </c>
      <c r="C2160">
        <v>61006218</v>
      </c>
      <c r="D2160">
        <v>237</v>
      </c>
      <c r="E2160">
        <v>0</v>
      </c>
      <c r="F2160">
        <v>0</v>
      </c>
      <c r="G2160">
        <v>0</v>
      </c>
      <c r="H2160">
        <v>237</v>
      </c>
      <c r="I2160" s="183" t="s">
        <v>1083</v>
      </c>
      <c r="J2160" s="183" t="s">
        <v>12052</v>
      </c>
      <c r="K2160">
        <v>0</v>
      </c>
      <c r="L2160">
        <v>237</v>
      </c>
    </row>
    <row r="2161" spans="1:12">
      <c r="A2161" s="183" t="s">
        <v>180</v>
      </c>
      <c r="B2161" s="183" t="s">
        <v>1820</v>
      </c>
      <c r="C2161">
        <v>61006236</v>
      </c>
      <c r="D2161">
        <v>386</v>
      </c>
      <c r="E2161">
        <v>0</v>
      </c>
      <c r="F2161">
        <v>0</v>
      </c>
      <c r="G2161">
        <v>0</v>
      </c>
      <c r="H2161">
        <v>386</v>
      </c>
      <c r="I2161" s="183" t="s">
        <v>1083</v>
      </c>
      <c r="J2161" s="183" t="s">
        <v>12060</v>
      </c>
      <c r="K2161">
        <v>0</v>
      </c>
      <c r="L2161">
        <v>386</v>
      </c>
    </row>
    <row r="2162" spans="1:12">
      <c r="A2162" s="183" t="s">
        <v>198</v>
      </c>
      <c r="B2162" s="183" t="s">
        <v>1826</v>
      </c>
      <c r="C2162">
        <v>61005224</v>
      </c>
      <c r="D2162">
        <v>412</v>
      </c>
      <c r="E2162">
        <v>0</v>
      </c>
      <c r="F2162">
        <v>0</v>
      </c>
      <c r="G2162">
        <v>0</v>
      </c>
      <c r="H2162">
        <v>412</v>
      </c>
      <c r="I2162" s="183" t="s">
        <v>1243</v>
      </c>
      <c r="J2162" s="183" t="s">
        <v>12085</v>
      </c>
      <c r="K2162">
        <v>0</v>
      </c>
      <c r="L2162">
        <v>412</v>
      </c>
    </row>
    <row r="2163" spans="1:12">
      <c r="A2163" s="183" t="s">
        <v>199</v>
      </c>
      <c r="B2163" s="183" t="s">
        <v>1831</v>
      </c>
      <c r="C2163">
        <v>61005228</v>
      </c>
      <c r="D2163">
        <v>413</v>
      </c>
      <c r="E2163">
        <v>0</v>
      </c>
      <c r="F2163">
        <v>1</v>
      </c>
      <c r="G2163">
        <v>0</v>
      </c>
      <c r="H2163">
        <v>414</v>
      </c>
      <c r="I2163" s="183" t="s">
        <v>1243</v>
      </c>
      <c r="J2163" s="183" t="s">
        <v>12095</v>
      </c>
      <c r="K2163">
        <v>0</v>
      </c>
      <c r="L2163">
        <v>413</v>
      </c>
    </row>
    <row r="2164" spans="1:12">
      <c r="A2164" s="183" t="s">
        <v>207</v>
      </c>
      <c r="B2164" s="183" t="s">
        <v>2672</v>
      </c>
      <c r="C2164">
        <v>61007205</v>
      </c>
      <c r="D2164">
        <v>340</v>
      </c>
      <c r="E2164">
        <v>0</v>
      </c>
      <c r="F2164">
        <v>0</v>
      </c>
      <c r="G2164">
        <v>0</v>
      </c>
      <c r="H2164">
        <v>340</v>
      </c>
      <c r="I2164" s="183" t="s">
        <v>1430</v>
      </c>
      <c r="J2164" s="183" t="s">
        <v>12057</v>
      </c>
      <c r="K2164">
        <v>0</v>
      </c>
      <c r="L2164">
        <v>340</v>
      </c>
    </row>
    <row r="2165" spans="1:12">
      <c r="A2165" s="183" t="s">
        <v>4945</v>
      </c>
      <c r="B2165" s="183" t="s">
        <v>4946</v>
      </c>
      <c r="C2165">
        <v>61007208</v>
      </c>
      <c r="D2165">
        <v>448</v>
      </c>
      <c r="E2165">
        <v>0</v>
      </c>
      <c r="F2165">
        <v>0</v>
      </c>
      <c r="G2165">
        <v>0</v>
      </c>
      <c r="H2165">
        <v>448</v>
      </c>
      <c r="I2165" s="183" t="s">
        <v>1430</v>
      </c>
      <c r="J2165" s="183" t="s">
        <v>12059</v>
      </c>
      <c r="K2165">
        <v>0</v>
      </c>
      <c r="L2165">
        <v>448</v>
      </c>
    </row>
    <row r="2166" spans="1:12">
      <c r="A2166" s="183" t="s">
        <v>218</v>
      </c>
      <c r="B2166" s="183" t="s">
        <v>2003</v>
      </c>
      <c r="C2166">
        <v>61007223</v>
      </c>
      <c r="D2166">
        <v>234</v>
      </c>
      <c r="E2166">
        <v>0</v>
      </c>
      <c r="F2166">
        <v>0</v>
      </c>
      <c r="G2166">
        <v>0</v>
      </c>
      <c r="H2166">
        <v>234</v>
      </c>
      <c r="I2166" s="183" t="s">
        <v>1430</v>
      </c>
      <c r="J2166" s="183" t="s">
        <v>12060</v>
      </c>
      <c r="K2166">
        <v>0</v>
      </c>
      <c r="L2166">
        <v>234</v>
      </c>
    </row>
    <row r="2167" spans="1:12">
      <c r="A2167" s="183" t="s">
        <v>2172</v>
      </c>
      <c r="B2167" s="183" t="s">
        <v>2173</v>
      </c>
      <c r="C2167">
        <v>61008214</v>
      </c>
      <c r="D2167">
        <v>432</v>
      </c>
      <c r="E2167">
        <v>0</v>
      </c>
      <c r="F2167">
        <v>0</v>
      </c>
      <c r="G2167">
        <v>0</v>
      </c>
      <c r="H2167">
        <v>432</v>
      </c>
      <c r="I2167" s="183" t="s">
        <v>1267</v>
      </c>
      <c r="J2167" s="183" t="s">
        <v>12059</v>
      </c>
      <c r="K2167">
        <v>0</v>
      </c>
      <c r="L2167">
        <v>432</v>
      </c>
    </row>
    <row r="2168" spans="1:12">
      <c r="A2168" s="183" t="s">
        <v>1509</v>
      </c>
      <c r="B2168" s="183" t="s">
        <v>1510</v>
      </c>
      <c r="C2168">
        <v>61008215</v>
      </c>
      <c r="D2168">
        <v>300</v>
      </c>
      <c r="E2168">
        <v>0</v>
      </c>
      <c r="F2168">
        <v>0</v>
      </c>
      <c r="G2168">
        <v>0</v>
      </c>
      <c r="H2168">
        <v>300</v>
      </c>
      <c r="I2168" s="183" t="s">
        <v>1267</v>
      </c>
      <c r="J2168" s="183" t="s">
        <v>12054</v>
      </c>
      <c r="K2168">
        <v>0</v>
      </c>
      <c r="L2168">
        <v>300</v>
      </c>
    </row>
    <row r="2169" spans="1:12">
      <c r="A2169" s="183" t="s">
        <v>2151</v>
      </c>
      <c r="B2169" s="183" t="s">
        <v>2152</v>
      </c>
      <c r="C2169">
        <v>61008238</v>
      </c>
      <c r="D2169">
        <v>299</v>
      </c>
      <c r="E2169">
        <v>0</v>
      </c>
      <c r="F2169">
        <v>0</v>
      </c>
      <c r="G2169">
        <v>0</v>
      </c>
      <c r="H2169">
        <v>299</v>
      </c>
      <c r="I2169" s="183" t="s">
        <v>1267</v>
      </c>
      <c r="J2169" s="183" t="s">
        <v>12067</v>
      </c>
      <c r="K2169">
        <v>0</v>
      </c>
      <c r="L2169">
        <v>299</v>
      </c>
    </row>
    <row r="2170" spans="1:12">
      <c r="A2170" s="183" t="s">
        <v>3068</v>
      </c>
      <c r="B2170" s="183" t="s">
        <v>3069</v>
      </c>
      <c r="C2170">
        <v>64004214</v>
      </c>
      <c r="D2170">
        <v>563</v>
      </c>
      <c r="E2170">
        <v>0</v>
      </c>
      <c r="F2170">
        <v>0</v>
      </c>
      <c r="G2170">
        <v>0</v>
      </c>
      <c r="H2170">
        <v>563</v>
      </c>
      <c r="I2170" s="183" t="s">
        <v>1051</v>
      </c>
      <c r="J2170" s="183" t="s">
        <v>12094</v>
      </c>
      <c r="K2170">
        <v>0</v>
      </c>
      <c r="L2170">
        <v>563</v>
      </c>
    </row>
    <row r="2171" spans="1:12">
      <c r="A2171" s="183" t="s">
        <v>4949</v>
      </c>
      <c r="B2171" s="183" t="s">
        <v>4950</v>
      </c>
      <c r="C2171">
        <v>64004215</v>
      </c>
      <c r="D2171">
        <v>454</v>
      </c>
      <c r="E2171">
        <v>0</v>
      </c>
      <c r="F2171">
        <v>0</v>
      </c>
      <c r="G2171">
        <v>0</v>
      </c>
      <c r="H2171">
        <v>454</v>
      </c>
      <c r="I2171" s="183" t="s">
        <v>1051</v>
      </c>
      <c r="J2171" s="183" t="s">
        <v>12081</v>
      </c>
      <c r="K2171">
        <v>0</v>
      </c>
      <c r="L2171">
        <v>454</v>
      </c>
    </row>
    <row r="2172" spans="1:12">
      <c r="A2172" s="183" t="s">
        <v>6264</v>
      </c>
      <c r="B2172" s="183" t="s">
        <v>6265</v>
      </c>
      <c r="C2172">
        <v>64004217</v>
      </c>
      <c r="D2172">
        <v>213</v>
      </c>
      <c r="E2172">
        <v>0</v>
      </c>
      <c r="F2172">
        <v>0</v>
      </c>
      <c r="G2172">
        <v>0</v>
      </c>
      <c r="H2172">
        <v>213</v>
      </c>
      <c r="I2172" s="183" t="s">
        <v>1051</v>
      </c>
      <c r="J2172" s="183" t="s">
        <v>12059</v>
      </c>
      <c r="K2172">
        <v>0</v>
      </c>
      <c r="L2172">
        <v>213</v>
      </c>
    </row>
    <row r="2173" spans="1:12">
      <c r="A2173" s="183" t="s">
        <v>6215</v>
      </c>
      <c r="B2173" s="183" t="s">
        <v>6216</v>
      </c>
      <c r="C2173">
        <v>64004220</v>
      </c>
      <c r="D2173">
        <v>618</v>
      </c>
      <c r="E2173">
        <v>0</v>
      </c>
      <c r="F2173">
        <v>0</v>
      </c>
      <c r="G2173">
        <v>0</v>
      </c>
      <c r="H2173">
        <v>618</v>
      </c>
      <c r="I2173" s="183" t="s">
        <v>1051</v>
      </c>
      <c r="J2173" s="183" t="s">
        <v>12048</v>
      </c>
      <c r="K2173">
        <v>0</v>
      </c>
      <c r="L2173">
        <v>618</v>
      </c>
    </row>
    <row r="2174" spans="1:12">
      <c r="A2174" s="183" t="s">
        <v>854</v>
      </c>
      <c r="B2174" s="183" t="s">
        <v>1222</v>
      </c>
      <c r="C2174">
        <v>64004238</v>
      </c>
      <c r="D2174">
        <v>598</v>
      </c>
      <c r="E2174">
        <v>0</v>
      </c>
      <c r="F2174">
        <v>0</v>
      </c>
      <c r="G2174">
        <v>0</v>
      </c>
      <c r="H2174">
        <v>598</v>
      </c>
      <c r="I2174" s="183" t="s">
        <v>1051</v>
      </c>
      <c r="J2174" s="183" t="s">
        <v>12053</v>
      </c>
      <c r="K2174">
        <v>0</v>
      </c>
      <c r="L2174">
        <v>598</v>
      </c>
    </row>
    <row r="2175" spans="1:12">
      <c r="A2175" s="183" t="s">
        <v>855</v>
      </c>
      <c r="B2175" s="183" t="s">
        <v>1223</v>
      </c>
      <c r="C2175">
        <v>64004240</v>
      </c>
      <c r="D2175">
        <v>205</v>
      </c>
      <c r="E2175">
        <v>0</v>
      </c>
      <c r="F2175">
        <v>0</v>
      </c>
      <c r="G2175">
        <v>0</v>
      </c>
      <c r="H2175">
        <v>205</v>
      </c>
      <c r="I2175" s="183" t="s">
        <v>1051</v>
      </c>
      <c r="J2175" s="183" t="s">
        <v>12067</v>
      </c>
      <c r="K2175">
        <v>0</v>
      </c>
      <c r="L2175">
        <v>205</v>
      </c>
    </row>
    <row r="2176" spans="1:12">
      <c r="A2176" s="183" t="s">
        <v>6179</v>
      </c>
      <c r="B2176" s="183" t="s">
        <v>6180</v>
      </c>
      <c r="C2176">
        <v>64001210</v>
      </c>
      <c r="D2176">
        <v>218</v>
      </c>
      <c r="E2176">
        <v>0</v>
      </c>
      <c r="F2176">
        <v>1</v>
      </c>
      <c r="G2176">
        <v>0</v>
      </c>
      <c r="H2176">
        <v>219</v>
      </c>
      <c r="I2176" s="183" t="s">
        <v>1062</v>
      </c>
      <c r="J2176" s="183" t="s">
        <v>12093</v>
      </c>
      <c r="K2176">
        <v>0</v>
      </c>
      <c r="L2176">
        <v>218</v>
      </c>
    </row>
    <row r="2177" spans="1:12">
      <c r="A2177" s="183" t="s">
        <v>5706</v>
      </c>
      <c r="B2177" s="183" t="s">
        <v>5707</v>
      </c>
      <c r="C2177">
        <v>64001219</v>
      </c>
      <c r="D2177">
        <v>130</v>
      </c>
      <c r="E2177">
        <v>0</v>
      </c>
      <c r="F2177">
        <v>0</v>
      </c>
      <c r="G2177">
        <v>0</v>
      </c>
      <c r="H2177">
        <v>130</v>
      </c>
      <c r="I2177" s="183" t="s">
        <v>1062</v>
      </c>
      <c r="J2177" s="183" t="s">
        <v>12048</v>
      </c>
      <c r="K2177">
        <v>0</v>
      </c>
      <c r="L2177">
        <v>130</v>
      </c>
    </row>
    <row r="2178" spans="1:12">
      <c r="A2178" s="183" t="s">
        <v>4863</v>
      </c>
      <c r="B2178" s="183" t="s">
        <v>4864</v>
      </c>
      <c r="C2178">
        <v>64001221</v>
      </c>
      <c r="D2178">
        <v>368</v>
      </c>
      <c r="E2178">
        <v>0</v>
      </c>
      <c r="F2178">
        <v>0</v>
      </c>
      <c r="G2178">
        <v>0</v>
      </c>
      <c r="H2178">
        <v>368</v>
      </c>
      <c r="I2178" s="183" t="s">
        <v>1062</v>
      </c>
      <c r="J2178" s="183" t="s">
        <v>12060</v>
      </c>
      <c r="K2178">
        <v>0</v>
      </c>
      <c r="L2178">
        <v>368</v>
      </c>
    </row>
    <row r="2179" spans="1:12">
      <c r="A2179" s="183" t="s">
        <v>3792</v>
      </c>
      <c r="B2179" s="183" t="s">
        <v>3793</v>
      </c>
      <c r="C2179">
        <v>64004212</v>
      </c>
      <c r="D2179">
        <v>474</v>
      </c>
      <c r="E2179">
        <v>0</v>
      </c>
      <c r="F2179">
        <v>0</v>
      </c>
      <c r="G2179">
        <v>0</v>
      </c>
      <c r="H2179">
        <v>474</v>
      </c>
      <c r="I2179" s="183" t="s">
        <v>1051</v>
      </c>
      <c r="J2179" s="183" t="s">
        <v>12091</v>
      </c>
      <c r="K2179">
        <v>0</v>
      </c>
      <c r="L2179">
        <v>474</v>
      </c>
    </row>
    <row r="2180" spans="1:12">
      <c r="A2180" s="183" t="s">
        <v>5210</v>
      </c>
      <c r="B2180" s="183" t="s">
        <v>5211</v>
      </c>
      <c r="C2180">
        <v>64001209</v>
      </c>
      <c r="D2180">
        <v>147</v>
      </c>
      <c r="E2180">
        <v>0</v>
      </c>
      <c r="F2180">
        <v>0</v>
      </c>
      <c r="G2180">
        <v>0</v>
      </c>
      <c r="H2180">
        <v>147</v>
      </c>
      <c r="I2180" s="183" t="s">
        <v>1062</v>
      </c>
      <c r="J2180" s="183" t="s">
        <v>12092</v>
      </c>
      <c r="K2180">
        <v>0</v>
      </c>
      <c r="L2180">
        <v>147</v>
      </c>
    </row>
    <row r="2181" spans="1:12">
      <c r="A2181" s="183" t="s">
        <v>5539</v>
      </c>
      <c r="B2181" s="183" t="s">
        <v>5540</v>
      </c>
      <c r="C2181">
        <v>64001211</v>
      </c>
      <c r="D2181">
        <v>0</v>
      </c>
      <c r="E2181">
        <v>0</v>
      </c>
      <c r="F2181">
        <v>36</v>
      </c>
      <c r="G2181">
        <v>0</v>
      </c>
      <c r="H2181">
        <v>36</v>
      </c>
      <c r="I2181" s="183" t="s">
        <v>1062</v>
      </c>
      <c r="J2181" s="183" t="s">
        <v>12093</v>
      </c>
      <c r="K2181">
        <v>0</v>
      </c>
      <c r="L2181">
        <v>0</v>
      </c>
    </row>
    <row r="2182" spans="1:12">
      <c r="A2182" s="183" t="s">
        <v>5541</v>
      </c>
      <c r="B2182" s="183" t="s">
        <v>5542</v>
      </c>
      <c r="C2182">
        <v>64001223</v>
      </c>
      <c r="D2182">
        <v>154</v>
      </c>
      <c r="E2182">
        <v>0</v>
      </c>
      <c r="F2182">
        <v>0</v>
      </c>
      <c r="G2182">
        <v>0</v>
      </c>
      <c r="H2182">
        <v>154</v>
      </c>
      <c r="I2182" s="183" t="s">
        <v>1062</v>
      </c>
      <c r="J2182" s="183" t="s">
        <v>12059</v>
      </c>
      <c r="K2182">
        <v>0</v>
      </c>
      <c r="L2182">
        <v>154</v>
      </c>
    </row>
    <row r="2183" spans="1:12">
      <c r="A2183" s="183" t="s">
        <v>228</v>
      </c>
      <c r="B2183" s="183" t="s">
        <v>1286</v>
      </c>
      <c r="C2183">
        <v>64001232</v>
      </c>
      <c r="D2183">
        <v>672</v>
      </c>
      <c r="E2183">
        <v>0</v>
      </c>
      <c r="F2183">
        <v>1</v>
      </c>
      <c r="G2183">
        <v>0</v>
      </c>
      <c r="H2183">
        <v>673</v>
      </c>
      <c r="I2183" s="183" t="s">
        <v>1062</v>
      </c>
      <c r="J2183" s="183" t="s">
        <v>12092</v>
      </c>
      <c r="K2183">
        <v>0</v>
      </c>
      <c r="L2183">
        <v>672</v>
      </c>
    </row>
    <row r="2184" spans="1:12">
      <c r="A2184" s="183" t="s">
        <v>6143</v>
      </c>
      <c r="B2184" s="183" t="s">
        <v>6144</v>
      </c>
      <c r="C2184">
        <v>64003216</v>
      </c>
      <c r="D2184">
        <v>392</v>
      </c>
      <c r="E2184">
        <v>0</v>
      </c>
      <c r="F2184">
        <v>0</v>
      </c>
      <c r="G2184">
        <v>0</v>
      </c>
      <c r="H2184">
        <v>392</v>
      </c>
      <c r="I2184" s="183" t="s">
        <v>1012</v>
      </c>
      <c r="J2184" s="183" t="s">
        <v>12087</v>
      </c>
      <c r="K2184">
        <v>0</v>
      </c>
      <c r="L2184">
        <v>392</v>
      </c>
    </row>
    <row r="2185" spans="1:12">
      <c r="A2185" s="183" t="s">
        <v>3851</v>
      </c>
      <c r="B2185" s="183" t="s">
        <v>3852</v>
      </c>
      <c r="C2185">
        <v>11860204</v>
      </c>
      <c r="D2185">
        <v>267</v>
      </c>
      <c r="E2185">
        <v>0</v>
      </c>
      <c r="F2185">
        <v>0</v>
      </c>
      <c r="G2185">
        <v>0</v>
      </c>
      <c r="H2185">
        <v>267</v>
      </c>
      <c r="I2185" s="183" t="s">
        <v>1052</v>
      </c>
      <c r="J2185" s="183" t="s">
        <v>12093</v>
      </c>
      <c r="K2185">
        <v>0</v>
      </c>
      <c r="L2185">
        <v>267</v>
      </c>
    </row>
    <row r="2186" spans="1:12">
      <c r="A2186" s="183" t="s">
        <v>3106</v>
      </c>
      <c r="B2186" s="183" t="s">
        <v>3107</v>
      </c>
      <c r="C2186">
        <v>11860205</v>
      </c>
      <c r="D2186">
        <v>184</v>
      </c>
      <c r="E2186">
        <v>0</v>
      </c>
      <c r="F2186">
        <v>0</v>
      </c>
      <c r="G2186">
        <v>0</v>
      </c>
      <c r="H2186">
        <v>184</v>
      </c>
      <c r="I2186" s="183" t="s">
        <v>1052</v>
      </c>
      <c r="J2186" s="183" t="s">
        <v>12091</v>
      </c>
      <c r="K2186">
        <v>0</v>
      </c>
      <c r="L2186">
        <v>184</v>
      </c>
    </row>
    <row r="2187" spans="1:12">
      <c r="A2187" s="183" t="s">
        <v>5883</v>
      </c>
      <c r="B2187" s="183" t="s">
        <v>5884</v>
      </c>
      <c r="C2187">
        <v>11860209</v>
      </c>
      <c r="D2187">
        <v>273</v>
      </c>
      <c r="E2187">
        <v>0</v>
      </c>
      <c r="F2187">
        <v>0</v>
      </c>
      <c r="G2187">
        <v>0</v>
      </c>
      <c r="H2187">
        <v>273</v>
      </c>
      <c r="I2187" s="183" t="s">
        <v>1052</v>
      </c>
      <c r="J2187" s="183" t="s">
        <v>12092</v>
      </c>
      <c r="K2187">
        <v>0</v>
      </c>
      <c r="L2187">
        <v>273</v>
      </c>
    </row>
    <row r="2188" spans="1:12">
      <c r="A2188" s="183" t="s">
        <v>3861</v>
      </c>
      <c r="B2188" s="183" t="s">
        <v>3862</v>
      </c>
      <c r="C2188">
        <v>11860213</v>
      </c>
      <c r="D2188">
        <v>241</v>
      </c>
      <c r="E2188">
        <v>0</v>
      </c>
      <c r="F2188">
        <v>0</v>
      </c>
      <c r="G2188">
        <v>0</v>
      </c>
      <c r="H2188">
        <v>241</v>
      </c>
      <c r="I2188" s="183" t="s">
        <v>1052</v>
      </c>
      <c r="J2188" s="183" t="s">
        <v>12050</v>
      </c>
      <c r="K2188">
        <v>0</v>
      </c>
      <c r="L2188">
        <v>241</v>
      </c>
    </row>
    <row r="2189" spans="1:12">
      <c r="A2189" s="183" t="s">
        <v>5885</v>
      </c>
      <c r="B2189" s="183" t="s">
        <v>5886</v>
      </c>
      <c r="C2189">
        <v>11860216</v>
      </c>
      <c r="D2189">
        <v>196</v>
      </c>
      <c r="E2189">
        <v>0</v>
      </c>
      <c r="F2189">
        <v>0</v>
      </c>
      <c r="G2189">
        <v>0</v>
      </c>
      <c r="H2189">
        <v>196</v>
      </c>
      <c r="I2189" s="183" t="s">
        <v>1052</v>
      </c>
      <c r="J2189" s="183" t="s">
        <v>12048</v>
      </c>
      <c r="K2189">
        <v>0</v>
      </c>
      <c r="L2189">
        <v>196</v>
      </c>
    </row>
    <row r="2190" spans="1:12">
      <c r="A2190" s="183" t="s">
        <v>5887</v>
      </c>
      <c r="B2190" s="183" t="s">
        <v>5888</v>
      </c>
      <c r="C2190">
        <v>11860218</v>
      </c>
      <c r="D2190">
        <v>86</v>
      </c>
      <c r="E2190">
        <v>0</v>
      </c>
      <c r="F2190">
        <v>0</v>
      </c>
      <c r="G2190">
        <v>0</v>
      </c>
      <c r="H2190">
        <v>86</v>
      </c>
      <c r="I2190" s="183" t="s">
        <v>1052</v>
      </c>
      <c r="J2190" s="183" t="s">
        <v>12092</v>
      </c>
      <c r="K2190">
        <v>0</v>
      </c>
      <c r="L2190">
        <v>86</v>
      </c>
    </row>
    <row r="2191" spans="1:12">
      <c r="A2191" s="183" t="s">
        <v>5866</v>
      </c>
      <c r="B2191" s="183" t="s">
        <v>5867</v>
      </c>
      <c r="C2191">
        <v>11860226</v>
      </c>
      <c r="D2191">
        <v>129</v>
      </c>
      <c r="E2191">
        <v>0</v>
      </c>
      <c r="F2191">
        <v>0</v>
      </c>
      <c r="G2191">
        <v>0</v>
      </c>
      <c r="H2191">
        <v>129</v>
      </c>
      <c r="I2191" s="183" t="s">
        <v>1052</v>
      </c>
      <c r="J2191" s="183" t="s">
        <v>12056</v>
      </c>
      <c r="K2191">
        <v>0</v>
      </c>
      <c r="L2191">
        <v>129</v>
      </c>
    </row>
    <row r="2192" spans="1:12">
      <c r="A2192" s="183" t="s">
        <v>2966</v>
      </c>
      <c r="B2192" s="183" t="s">
        <v>2967</v>
      </c>
      <c r="C2192">
        <v>11860228</v>
      </c>
      <c r="D2192">
        <v>221</v>
      </c>
      <c r="E2192">
        <v>0</v>
      </c>
      <c r="F2192">
        <v>0</v>
      </c>
      <c r="G2192">
        <v>0</v>
      </c>
      <c r="H2192">
        <v>221</v>
      </c>
      <c r="I2192" s="183" t="s">
        <v>1052</v>
      </c>
      <c r="J2192" s="183" t="s">
        <v>12054</v>
      </c>
      <c r="K2192">
        <v>0</v>
      </c>
      <c r="L2192">
        <v>221</v>
      </c>
    </row>
    <row r="2193" spans="1:12">
      <c r="A2193" s="183" t="s">
        <v>3116</v>
      </c>
      <c r="B2193" s="183" t="s">
        <v>3117</v>
      </c>
      <c r="C2193">
        <v>11860230</v>
      </c>
      <c r="D2193">
        <v>235</v>
      </c>
      <c r="E2193">
        <v>0</v>
      </c>
      <c r="F2193">
        <v>0</v>
      </c>
      <c r="G2193">
        <v>0</v>
      </c>
      <c r="H2193">
        <v>235</v>
      </c>
      <c r="I2193" s="183" t="s">
        <v>1052</v>
      </c>
      <c r="J2193" s="183" t="s">
        <v>12057</v>
      </c>
      <c r="K2193">
        <v>0</v>
      </c>
      <c r="L2193">
        <v>235</v>
      </c>
    </row>
    <row r="2194" spans="1:12">
      <c r="A2194" s="183" t="s">
        <v>238</v>
      </c>
      <c r="B2194" s="183" t="s">
        <v>239</v>
      </c>
      <c r="C2194">
        <v>11860238</v>
      </c>
      <c r="D2194">
        <v>150</v>
      </c>
      <c r="E2194">
        <v>0</v>
      </c>
      <c r="F2194">
        <v>0</v>
      </c>
      <c r="G2194">
        <v>0</v>
      </c>
      <c r="H2194">
        <v>150</v>
      </c>
      <c r="I2194" s="183" t="s">
        <v>1052</v>
      </c>
      <c r="J2194" s="183" t="s">
        <v>12093</v>
      </c>
      <c r="K2194">
        <v>0</v>
      </c>
      <c r="L2194">
        <v>150</v>
      </c>
    </row>
    <row r="2195" spans="1:12">
      <c r="A2195" s="183" t="s">
        <v>252</v>
      </c>
      <c r="B2195" s="183" t="s">
        <v>1227</v>
      </c>
      <c r="C2195">
        <v>7200203</v>
      </c>
      <c r="D2195">
        <v>519</v>
      </c>
      <c r="E2195">
        <v>0</v>
      </c>
      <c r="F2195">
        <v>0</v>
      </c>
      <c r="G2195">
        <v>0</v>
      </c>
      <c r="H2195">
        <v>519</v>
      </c>
      <c r="I2195" s="183" t="s">
        <v>1228</v>
      </c>
      <c r="J2195" s="183" t="s">
        <v>12095</v>
      </c>
      <c r="K2195">
        <v>0</v>
      </c>
      <c r="L2195">
        <v>519</v>
      </c>
    </row>
    <row r="2196" spans="1:12">
      <c r="A2196" s="183" t="s">
        <v>256</v>
      </c>
      <c r="B2196" s="183" t="s">
        <v>1227</v>
      </c>
      <c r="C2196">
        <v>7200230</v>
      </c>
      <c r="D2196">
        <v>316</v>
      </c>
      <c r="E2196">
        <v>0</v>
      </c>
      <c r="F2196">
        <v>0</v>
      </c>
      <c r="G2196">
        <v>0</v>
      </c>
      <c r="H2196">
        <v>316</v>
      </c>
      <c r="I2196" s="183" t="s">
        <v>1228</v>
      </c>
      <c r="J2196" s="183" t="s">
        <v>12052</v>
      </c>
      <c r="K2196">
        <v>0</v>
      </c>
      <c r="L2196">
        <v>316</v>
      </c>
    </row>
    <row r="2197" spans="1:12">
      <c r="A2197" s="183" t="s">
        <v>271</v>
      </c>
      <c r="B2197" s="183" t="s">
        <v>272</v>
      </c>
      <c r="C2197">
        <v>2290211</v>
      </c>
      <c r="D2197">
        <v>103</v>
      </c>
      <c r="E2197">
        <v>0</v>
      </c>
      <c r="F2197">
        <v>0</v>
      </c>
      <c r="G2197">
        <v>0</v>
      </c>
      <c r="H2197">
        <v>103</v>
      </c>
      <c r="I2197" s="183" t="s">
        <v>1053</v>
      </c>
      <c r="J2197" s="183" t="s">
        <v>12081</v>
      </c>
      <c r="K2197">
        <v>0</v>
      </c>
      <c r="L2197">
        <v>103</v>
      </c>
    </row>
    <row r="2198" spans="1:12">
      <c r="A2198" s="183" t="s">
        <v>723</v>
      </c>
      <c r="B2198" s="183" t="s">
        <v>727</v>
      </c>
      <c r="C2198">
        <v>2290212</v>
      </c>
      <c r="D2198">
        <v>33</v>
      </c>
      <c r="E2198">
        <v>0</v>
      </c>
      <c r="F2198">
        <v>0</v>
      </c>
      <c r="G2198">
        <v>0</v>
      </c>
      <c r="H2198">
        <v>33</v>
      </c>
      <c r="I2198" s="183" t="s">
        <v>1053</v>
      </c>
      <c r="J2198" s="183" t="s">
        <v>12056</v>
      </c>
      <c r="K2198">
        <v>0</v>
      </c>
      <c r="L2198">
        <v>33</v>
      </c>
    </row>
    <row r="2199" spans="1:12">
      <c r="A2199" s="183" t="s">
        <v>279</v>
      </c>
      <c r="B2199" s="183" t="s">
        <v>280</v>
      </c>
      <c r="C2199">
        <v>2290224</v>
      </c>
      <c r="D2199">
        <v>55</v>
      </c>
      <c r="E2199">
        <v>0</v>
      </c>
      <c r="F2199">
        <v>0</v>
      </c>
      <c r="G2199">
        <v>0</v>
      </c>
      <c r="H2199">
        <v>55</v>
      </c>
      <c r="I2199" s="183" t="s">
        <v>1053</v>
      </c>
      <c r="J2199" s="183" t="s">
        <v>12053</v>
      </c>
      <c r="K2199">
        <v>0</v>
      </c>
      <c r="L2199">
        <v>55</v>
      </c>
    </row>
    <row r="2200" spans="1:12">
      <c r="A2200" s="183" t="s">
        <v>12004</v>
      </c>
      <c r="B2200" s="183" t="s">
        <v>12005</v>
      </c>
      <c r="C2200">
        <v>63009208</v>
      </c>
      <c r="D2200">
        <v>445</v>
      </c>
      <c r="E2200">
        <v>0</v>
      </c>
      <c r="F2200">
        <v>0</v>
      </c>
      <c r="G2200">
        <v>0</v>
      </c>
      <c r="H2200">
        <v>445</v>
      </c>
      <c r="I2200" s="183" t="s">
        <v>1093</v>
      </c>
      <c r="J2200" s="183" t="s">
        <v>12052</v>
      </c>
      <c r="K2200">
        <v>0</v>
      </c>
      <c r="L2200">
        <v>445</v>
      </c>
    </row>
    <row r="2201" spans="1:12">
      <c r="A2201" s="183" t="s">
        <v>4861</v>
      </c>
      <c r="B2201" s="183" t="s">
        <v>4862</v>
      </c>
      <c r="C2201">
        <v>63009209</v>
      </c>
      <c r="D2201">
        <v>270</v>
      </c>
      <c r="E2201">
        <v>0</v>
      </c>
      <c r="F2201">
        <v>0</v>
      </c>
      <c r="G2201">
        <v>0</v>
      </c>
      <c r="H2201">
        <v>270</v>
      </c>
      <c r="I2201" s="183" t="s">
        <v>1093</v>
      </c>
      <c r="J2201" s="183" t="s">
        <v>12067</v>
      </c>
      <c r="K2201">
        <v>0</v>
      </c>
      <c r="L2201">
        <v>270</v>
      </c>
    </row>
    <row r="2202" spans="1:12">
      <c r="A2202" s="183" t="s">
        <v>6165</v>
      </c>
      <c r="B2202" s="183" t="s">
        <v>6166</v>
      </c>
      <c r="C2202">
        <v>63009211</v>
      </c>
      <c r="D2202">
        <v>341</v>
      </c>
      <c r="E2202">
        <v>0</v>
      </c>
      <c r="F2202">
        <v>0</v>
      </c>
      <c r="G2202">
        <v>0</v>
      </c>
      <c r="H2202">
        <v>341</v>
      </c>
      <c r="I2202" s="183" t="s">
        <v>1093</v>
      </c>
      <c r="J2202" s="183" t="s">
        <v>12067</v>
      </c>
      <c r="K2202">
        <v>0</v>
      </c>
      <c r="L2202">
        <v>341</v>
      </c>
    </row>
    <row r="2203" spans="1:12">
      <c r="A2203" s="183" t="s">
        <v>6111</v>
      </c>
      <c r="B2203" s="183" t="s">
        <v>6112</v>
      </c>
      <c r="C2203">
        <v>63009215</v>
      </c>
      <c r="D2203">
        <v>391</v>
      </c>
      <c r="E2203">
        <v>0</v>
      </c>
      <c r="F2203">
        <v>0</v>
      </c>
      <c r="G2203">
        <v>0</v>
      </c>
      <c r="H2203">
        <v>391</v>
      </c>
      <c r="I2203" s="183" t="s">
        <v>1093</v>
      </c>
      <c r="J2203" s="183" t="s">
        <v>12058</v>
      </c>
      <c r="K2203">
        <v>0</v>
      </c>
      <c r="L2203">
        <v>391</v>
      </c>
    </row>
    <row r="2204" spans="1:12">
      <c r="A2204" s="183" t="s">
        <v>1392</v>
      </c>
      <c r="B2204" s="183" t="s">
        <v>1393</v>
      </c>
      <c r="C2204">
        <v>63009219</v>
      </c>
      <c r="D2204">
        <v>215</v>
      </c>
      <c r="E2204">
        <v>0</v>
      </c>
      <c r="F2204">
        <v>0</v>
      </c>
      <c r="G2204">
        <v>0</v>
      </c>
      <c r="H2204">
        <v>215</v>
      </c>
      <c r="I2204" s="183" t="s">
        <v>1093</v>
      </c>
      <c r="J2204" s="183" t="s">
        <v>12093</v>
      </c>
      <c r="K2204">
        <v>0</v>
      </c>
      <c r="L2204">
        <v>215</v>
      </c>
    </row>
    <row r="2205" spans="1:12">
      <c r="A2205" s="183" t="s">
        <v>6113</v>
      </c>
      <c r="B2205" s="183" t="s">
        <v>6114</v>
      </c>
      <c r="C2205">
        <v>63009220</v>
      </c>
      <c r="D2205">
        <v>350</v>
      </c>
      <c r="E2205">
        <v>0</v>
      </c>
      <c r="F2205">
        <v>0</v>
      </c>
      <c r="G2205">
        <v>0</v>
      </c>
      <c r="H2205">
        <v>350</v>
      </c>
      <c r="I2205" s="183" t="s">
        <v>1093</v>
      </c>
      <c r="J2205" s="183" t="s">
        <v>12059</v>
      </c>
      <c r="K2205">
        <v>0</v>
      </c>
      <c r="L2205">
        <v>350</v>
      </c>
    </row>
    <row r="2206" spans="1:12">
      <c r="A2206" s="183" t="s">
        <v>4923</v>
      </c>
      <c r="B2206" s="183" t="s">
        <v>4924</v>
      </c>
      <c r="C2206">
        <v>63009224</v>
      </c>
      <c r="D2206">
        <v>227</v>
      </c>
      <c r="E2206">
        <v>0</v>
      </c>
      <c r="F2206">
        <v>0</v>
      </c>
      <c r="G2206">
        <v>0</v>
      </c>
      <c r="H2206">
        <v>227</v>
      </c>
      <c r="I2206" s="183" t="s">
        <v>1093</v>
      </c>
      <c r="J2206" s="183" t="s">
        <v>12091</v>
      </c>
      <c r="K2206">
        <v>0</v>
      </c>
      <c r="L2206">
        <v>227</v>
      </c>
    </row>
    <row r="2207" spans="1:12">
      <c r="A2207" s="183" t="s">
        <v>720</v>
      </c>
      <c r="B2207" s="183" t="s">
        <v>1064</v>
      </c>
      <c r="C2207">
        <v>125175180</v>
      </c>
      <c r="D2207">
        <v>95</v>
      </c>
      <c r="E2207">
        <v>0</v>
      </c>
      <c r="F2207">
        <v>0</v>
      </c>
      <c r="G2207">
        <v>0</v>
      </c>
      <c r="H2207">
        <v>95</v>
      </c>
      <c r="I2207" s="183" t="s">
        <v>1065</v>
      </c>
      <c r="J2207" s="183" t="s">
        <v>12067</v>
      </c>
      <c r="K2207">
        <v>0</v>
      </c>
      <c r="L2207">
        <v>95</v>
      </c>
    </row>
    <row r="2208" spans="1:12">
      <c r="A2208" s="183" t="s">
        <v>2955</v>
      </c>
      <c r="B2208" s="183" t="s">
        <v>1064</v>
      </c>
      <c r="C2208">
        <v>200175180</v>
      </c>
      <c r="D2208">
        <v>166</v>
      </c>
      <c r="E2208">
        <v>0</v>
      </c>
      <c r="F2208">
        <v>0</v>
      </c>
      <c r="G2208">
        <v>0</v>
      </c>
      <c r="H2208">
        <v>166</v>
      </c>
      <c r="I2208" s="183" t="s">
        <v>1065</v>
      </c>
      <c r="J2208" s="183" t="s">
        <v>12059</v>
      </c>
      <c r="K2208">
        <v>0</v>
      </c>
      <c r="L2208">
        <v>166</v>
      </c>
    </row>
    <row r="2209" spans="1:12">
      <c r="A2209" s="183" t="s">
        <v>6331</v>
      </c>
      <c r="B2209" s="183" t="s">
        <v>1064</v>
      </c>
      <c r="C2209">
        <v>275175180</v>
      </c>
      <c r="D2209">
        <v>299</v>
      </c>
      <c r="E2209">
        <v>0</v>
      </c>
      <c r="F2209">
        <v>1</v>
      </c>
      <c r="G2209">
        <v>0</v>
      </c>
      <c r="H2209">
        <v>300</v>
      </c>
      <c r="I2209" s="183" t="s">
        <v>1065</v>
      </c>
      <c r="J2209" s="183" t="s">
        <v>12087</v>
      </c>
      <c r="K2209">
        <v>0</v>
      </c>
      <c r="L2209">
        <v>299</v>
      </c>
    </row>
    <row r="2210" spans="1:12">
      <c r="A2210" s="183" t="s">
        <v>3080</v>
      </c>
      <c r="B2210" s="183" t="s">
        <v>1064</v>
      </c>
      <c r="C2210">
        <v>300125180</v>
      </c>
      <c r="D2210">
        <v>454</v>
      </c>
      <c r="E2210">
        <v>0</v>
      </c>
      <c r="F2210">
        <v>0</v>
      </c>
      <c r="G2210">
        <v>0</v>
      </c>
      <c r="H2210">
        <v>454</v>
      </c>
      <c r="I2210" s="183" t="s">
        <v>1065</v>
      </c>
      <c r="J2210" s="183" t="s">
        <v>12059</v>
      </c>
      <c r="K2210">
        <v>0</v>
      </c>
      <c r="L2210">
        <v>454</v>
      </c>
    </row>
    <row r="2211" spans="1:12">
      <c r="A2211" s="183" t="s">
        <v>5166</v>
      </c>
      <c r="B2211" s="183" t="s">
        <v>1064</v>
      </c>
      <c r="C2211">
        <v>350075180</v>
      </c>
      <c r="D2211">
        <v>397</v>
      </c>
      <c r="E2211">
        <v>0</v>
      </c>
      <c r="F2211">
        <v>0</v>
      </c>
      <c r="G2211">
        <v>0</v>
      </c>
      <c r="H2211">
        <v>397</v>
      </c>
      <c r="I2211" s="183" t="s">
        <v>1065</v>
      </c>
      <c r="J2211" s="183" t="s">
        <v>12093</v>
      </c>
      <c r="K2211">
        <v>0</v>
      </c>
      <c r="L2211">
        <v>397</v>
      </c>
    </row>
    <row r="2212" spans="1:12">
      <c r="A2212" s="183" t="s">
        <v>3103</v>
      </c>
      <c r="B2212" s="183" t="s">
        <v>1064</v>
      </c>
      <c r="C2212">
        <v>425075180</v>
      </c>
      <c r="D2212">
        <v>168</v>
      </c>
      <c r="E2212">
        <v>0</v>
      </c>
      <c r="F2212">
        <v>0</v>
      </c>
      <c r="G2212">
        <v>0</v>
      </c>
      <c r="H2212">
        <v>168</v>
      </c>
      <c r="I2212" s="183" t="s">
        <v>1065</v>
      </c>
      <c r="J2212" s="183" t="s">
        <v>12056</v>
      </c>
      <c r="K2212">
        <v>0</v>
      </c>
      <c r="L2212">
        <v>168</v>
      </c>
    </row>
    <row r="2213" spans="1:12">
      <c r="A2213" s="183" t="s">
        <v>5868</v>
      </c>
      <c r="B2213" s="183" t="s">
        <v>1032</v>
      </c>
      <c r="C2213">
        <v>73860200</v>
      </c>
      <c r="D2213">
        <v>336</v>
      </c>
      <c r="E2213">
        <v>0</v>
      </c>
      <c r="F2213">
        <v>0</v>
      </c>
      <c r="G2213">
        <v>0</v>
      </c>
      <c r="H2213">
        <v>336</v>
      </c>
      <c r="I2213" s="183" t="s">
        <v>1033</v>
      </c>
      <c r="J2213" s="183" t="s">
        <v>12048</v>
      </c>
      <c r="K2213">
        <v>0</v>
      </c>
      <c r="L2213">
        <v>336</v>
      </c>
    </row>
    <row r="2214" spans="1:12">
      <c r="A2214" s="183" t="s">
        <v>1387</v>
      </c>
      <c r="B2214" s="183" t="s">
        <v>1032</v>
      </c>
      <c r="C2214">
        <v>73860203</v>
      </c>
      <c r="D2214">
        <v>89</v>
      </c>
      <c r="E2214">
        <v>0</v>
      </c>
      <c r="F2214">
        <v>0</v>
      </c>
      <c r="G2214">
        <v>0</v>
      </c>
      <c r="H2214">
        <v>89</v>
      </c>
      <c r="I2214" s="183" t="s">
        <v>1033</v>
      </c>
      <c r="J2214" s="183" t="s">
        <v>12061</v>
      </c>
      <c r="K2214">
        <v>0</v>
      </c>
      <c r="L2214">
        <v>89</v>
      </c>
    </row>
    <row r="2215" spans="1:12">
      <c r="A2215" s="183" t="s">
        <v>3216</v>
      </c>
      <c r="B2215" s="183" t="s">
        <v>1032</v>
      </c>
      <c r="C2215">
        <v>73860205</v>
      </c>
      <c r="D2215">
        <v>119</v>
      </c>
      <c r="E2215">
        <v>0</v>
      </c>
      <c r="F2215">
        <v>0</v>
      </c>
      <c r="G2215">
        <v>0</v>
      </c>
      <c r="H2215">
        <v>119</v>
      </c>
      <c r="I2215" s="183" t="s">
        <v>1033</v>
      </c>
      <c r="J2215" s="183" t="s">
        <v>12081</v>
      </c>
      <c r="K2215">
        <v>0</v>
      </c>
      <c r="L2215">
        <v>119</v>
      </c>
    </row>
    <row r="2216" spans="1:12">
      <c r="A2216" s="183" t="s">
        <v>1389</v>
      </c>
      <c r="B2216" s="183" t="s">
        <v>1032</v>
      </c>
      <c r="C2216">
        <v>73860212</v>
      </c>
      <c r="D2216">
        <v>132</v>
      </c>
      <c r="E2216">
        <v>0</v>
      </c>
      <c r="F2216">
        <v>0</v>
      </c>
      <c r="G2216">
        <v>0</v>
      </c>
      <c r="H2216">
        <v>132</v>
      </c>
      <c r="I2216" s="183" t="s">
        <v>1033</v>
      </c>
      <c r="J2216" s="183" t="s">
        <v>12053</v>
      </c>
      <c r="K2216">
        <v>0</v>
      </c>
      <c r="L2216">
        <v>132</v>
      </c>
    </row>
    <row r="2217" spans="1:12">
      <c r="A2217" s="183" t="s">
        <v>3170</v>
      </c>
      <c r="B2217" s="183" t="s">
        <v>1032</v>
      </c>
      <c r="C2217">
        <v>73860215</v>
      </c>
      <c r="D2217">
        <v>208</v>
      </c>
      <c r="E2217">
        <v>0</v>
      </c>
      <c r="F2217">
        <v>0</v>
      </c>
      <c r="G2217">
        <v>0</v>
      </c>
      <c r="H2217">
        <v>208</v>
      </c>
      <c r="I2217" s="183" t="s">
        <v>1033</v>
      </c>
      <c r="J2217" s="183" t="s">
        <v>12059</v>
      </c>
      <c r="K2217">
        <v>0</v>
      </c>
      <c r="L2217">
        <v>208</v>
      </c>
    </row>
    <row r="2218" spans="1:12">
      <c r="A2218" s="183" t="s">
        <v>3169</v>
      </c>
      <c r="B2218" s="183" t="s">
        <v>1032</v>
      </c>
      <c r="C2218">
        <v>73860216</v>
      </c>
      <c r="D2218">
        <v>195</v>
      </c>
      <c r="E2218">
        <v>0</v>
      </c>
      <c r="F2218">
        <v>0</v>
      </c>
      <c r="G2218">
        <v>0</v>
      </c>
      <c r="H2218">
        <v>195</v>
      </c>
      <c r="I2218" s="183" t="s">
        <v>1033</v>
      </c>
      <c r="J2218" s="183" t="s">
        <v>12048</v>
      </c>
      <c r="K2218">
        <v>0</v>
      </c>
      <c r="L2218">
        <v>195</v>
      </c>
    </row>
    <row r="2219" spans="1:12">
      <c r="A2219" s="183" t="s">
        <v>1388</v>
      </c>
      <c r="B2219" s="183" t="s">
        <v>1032</v>
      </c>
      <c r="C2219">
        <v>73860219</v>
      </c>
      <c r="D2219">
        <v>114</v>
      </c>
      <c r="E2219">
        <v>0</v>
      </c>
      <c r="F2219">
        <v>0</v>
      </c>
      <c r="G2219">
        <v>0</v>
      </c>
      <c r="H2219">
        <v>114</v>
      </c>
      <c r="I2219" s="183" t="s">
        <v>1033</v>
      </c>
      <c r="J2219" s="183" t="s">
        <v>12053</v>
      </c>
      <c r="K2219">
        <v>0</v>
      </c>
      <c r="L2219">
        <v>114</v>
      </c>
    </row>
    <row r="2220" spans="1:12">
      <c r="A2220" s="183" t="s">
        <v>1145</v>
      </c>
      <c r="B2220" s="183" t="s">
        <v>1032</v>
      </c>
      <c r="C2220">
        <v>73860221</v>
      </c>
      <c r="D2220">
        <v>128</v>
      </c>
      <c r="E2220">
        <v>0</v>
      </c>
      <c r="F2220">
        <v>0</v>
      </c>
      <c r="G2220">
        <v>0</v>
      </c>
      <c r="H2220">
        <v>128</v>
      </c>
      <c r="I2220" s="183" t="s">
        <v>1033</v>
      </c>
      <c r="J2220" s="183" t="s">
        <v>12056</v>
      </c>
      <c r="K2220">
        <v>0</v>
      </c>
      <c r="L2220">
        <v>128</v>
      </c>
    </row>
    <row r="2221" spans="1:12">
      <c r="A2221" s="183" t="s">
        <v>2235</v>
      </c>
      <c r="B2221" s="183" t="s">
        <v>1032</v>
      </c>
      <c r="C2221">
        <v>73860223</v>
      </c>
      <c r="D2221">
        <v>152</v>
      </c>
      <c r="E2221">
        <v>0</v>
      </c>
      <c r="F2221">
        <v>0</v>
      </c>
      <c r="G2221">
        <v>0</v>
      </c>
      <c r="H2221">
        <v>152</v>
      </c>
      <c r="I2221" s="183" t="s">
        <v>1033</v>
      </c>
      <c r="J2221" s="183" t="s">
        <v>12059</v>
      </c>
      <c r="K2221">
        <v>0</v>
      </c>
      <c r="L2221">
        <v>152</v>
      </c>
    </row>
    <row r="2222" spans="1:12">
      <c r="A2222" s="183" t="s">
        <v>306</v>
      </c>
      <c r="B2222" s="183" t="s">
        <v>1060</v>
      </c>
      <c r="C2222">
        <v>50125180154</v>
      </c>
      <c r="D2222">
        <v>769</v>
      </c>
      <c r="E2222">
        <v>0</v>
      </c>
      <c r="F2222">
        <v>0</v>
      </c>
      <c r="G2222">
        <v>0</v>
      </c>
      <c r="H2222">
        <v>769</v>
      </c>
      <c r="I2222" s="183" t="s">
        <v>1061</v>
      </c>
      <c r="J2222" s="183" t="s">
        <v>12059</v>
      </c>
      <c r="K2222">
        <v>0</v>
      </c>
      <c r="L2222">
        <v>769</v>
      </c>
    </row>
    <row r="2223" spans="1:12">
      <c r="A2223" s="183" t="s">
        <v>313</v>
      </c>
      <c r="B2223" s="183" t="s">
        <v>1060</v>
      </c>
      <c r="C2223">
        <v>100175180154</v>
      </c>
      <c r="D2223">
        <v>36</v>
      </c>
      <c r="E2223">
        <v>0</v>
      </c>
      <c r="F2223">
        <v>0</v>
      </c>
      <c r="G2223">
        <v>0</v>
      </c>
      <c r="H2223">
        <v>36</v>
      </c>
      <c r="I2223" s="183" t="s">
        <v>1061</v>
      </c>
      <c r="J2223" s="183" t="s">
        <v>12091</v>
      </c>
      <c r="K2223">
        <v>0</v>
      </c>
      <c r="L2223">
        <v>36</v>
      </c>
    </row>
    <row r="2224" spans="1:12">
      <c r="A2224" s="183" t="s">
        <v>314</v>
      </c>
      <c r="B2224" s="183" t="s">
        <v>1060</v>
      </c>
      <c r="C2224">
        <v>125075180154</v>
      </c>
      <c r="D2224">
        <v>626</v>
      </c>
      <c r="E2224">
        <v>0</v>
      </c>
      <c r="F2224">
        <v>0</v>
      </c>
      <c r="G2224">
        <v>0</v>
      </c>
      <c r="H2224">
        <v>626</v>
      </c>
      <c r="I2224" s="183" t="s">
        <v>1061</v>
      </c>
      <c r="J2224" s="183" t="s">
        <v>12091</v>
      </c>
      <c r="K2224">
        <v>0</v>
      </c>
      <c r="L2224">
        <v>626</v>
      </c>
    </row>
    <row r="2225" spans="1:12">
      <c r="A2225" s="183" t="s">
        <v>3742</v>
      </c>
      <c r="B2225" s="183" t="s">
        <v>3743</v>
      </c>
      <c r="C2225">
        <v>64004216</v>
      </c>
      <c r="D2225">
        <v>678</v>
      </c>
      <c r="E2225">
        <v>0</v>
      </c>
      <c r="F2225">
        <v>0</v>
      </c>
      <c r="G2225">
        <v>0</v>
      </c>
      <c r="H2225">
        <v>678</v>
      </c>
      <c r="I2225" s="183" t="s">
        <v>1051</v>
      </c>
      <c r="J2225" s="183" t="s">
        <v>12094</v>
      </c>
      <c r="K2225">
        <v>0</v>
      </c>
      <c r="L2225">
        <v>678</v>
      </c>
    </row>
    <row r="2226" spans="1:12">
      <c r="A2226" s="183" t="s">
        <v>4955</v>
      </c>
      <c r="B2226" s="183" t="s">
        <v>4956</v>
      </c>
      <c r="C2226">
        <v>64004222</v>
      </c>
      <c r="D2226">
        <v>498</v>
      </c>
      <c r="E2226">
        <v>0</v>
      </c>
      <c r="F2226">
        <v>0</v>
      </c>
      <c r="G2226">
        <v>0</v>
      </c>
      <c r="H2226">
        <v>498</v>
      </c>
      <c r="I2226" s="183" t="s">
        <v>1051</v>
      </c>
      <c r="J2226" s="183" t="s">
        <v>12091</v>
      </c>
      <c r="K2226">
        <v>0</v>
      </c>
      <c r="L2226">
        <v>498</v>
      </c>
    </row>
    <row r="2227" spans="1:12">
      <c r="A2227" s="183" t="s">
        <v>6272</v>
      </c>
      <c r="B2227" s="183" t="s">
        <v>6273</v>
      </c>
      <c r="C2227">
        <v>64004228</v>
      </c>
      <c r="D2227">
        <v>208</v>
      </c>
      <c r="E2227">
        <v>0</v>
      </c>
      <c r="F2227">
        <v>0</v>
      </c>
      <c r="G2227">
        <v>0</v>
      </c>
      <c r="H2227">
        <v>208</v>
      </c>
      <c r="I2227" s="183" t="s">
        <v>1051</v>
      </c>
      <c r="J2227" s="183" t="s">
        <v>12092</v>
      </c>
      <c r="K2227">
        <v>0</v>
      </c>
      <c r="L2227">
        <v>208</v>
      </c>
    </row>
    <row r="2228" spans="1:12">
      <c r="A2228" s="183" t="s">
        <v>226</v>
      </c>
      <c r="B2228" s="183" t="s">
        <v>1400</v>
      </c>
      <c r="C2228">
        <v>64001203</v>
      </c>
      <c r="D2228">
        <v>791</v>
      </c>
      <c r="E2228">
        <v>0</v>
      </c>
      <c r="F2228">
        <v>0</v>
      </c>
      <c r="G2228">
        <v>0</v>
      </c>
      <c r="H2228">
        <v>791</v>
      </c>
      <c r="I2228" s="183" t="s">
        <v>1062</v>
      </c>
      <c r="J2228" s="183" t="s">
        <v>12053</v>
      </c>
      <c r="K2228">
        <v>0</v>
      </c>
      <c r="L2228">
        <v>791</v>
      </c>
    </row>
    <row r="2229" spans="1:12">
      <c r="A2229" s="183" t="s">
        <v>6183</v>
      </c>
      <c r="B2229" s="183" t="s">
        <v>6184</v>
      </c>
      <c r="C2229">
        <v>64001212</v>
      </c>
      <c r="D2229">
        <v>47</v>
      </c>
      <c r="E2229">
        <v>0</v>
      </c>
      <c r="F2229">
        <v>0</v>
      </c>
      <c r="G2229">
        <v>0</v>
      </c>
      <c r="H2229">
        <v>47</v>
      </c>
      <c r="I2229" s="183" t="s">
        <v>1062</v>
      </c>
      <c r="J2229" s="183" t="s">
        <v>12093</v>
      </c>
      <c r="K2229">
        <v>0</v>
      </c>
      <c r="L2229">
        <v>47</v>
      </c>
    </row>
    <row r="2230" spans="1:12">
      <c r="A2230" s="183" t="s">
        <v>6185</v>
      </c>
      <c r="B2230" s="183" t="s">
        <v>6186</v>
      </c>
      <c r="C2230">
        <v>64001217</v>
      </c>
      <c r="D2230">
        <v>129</v>
      </c>
      <c r="E2230">
        <v>0</v>
      </c>
      <c r="F2230">
        <v>0</v>
      </c>
      <c r="G2230">
        <v>0</v>
      </c>
      <c r="H2230">
        <v>129</v>
      </c>
      <c r="I2230" s="183" t="s">
        <v>1062</v>
      </c>
      <c r="J2230" s="183" t="s">
        <v>12091</v>
      </c>
      <c r="K2230">
        <v>0</v>
      </c>
      <c r="L2230">
        <v>129</v>
      </c>
    </row>
    <row r="2231" spans="1:12">
      <c r="A2231" s="183" t="s">
        <v>5537</v>
      </c>
      <c r="B2231" s="183" t="s">
        <v>5538</v>
      </c>
      <c r="C2231">
        <v>64001222</v>
      </c>
      <c r="D2231">
        <v>211</v>
      </c>
      <c r="E2231">
        <v>0</v>
      </c>
      <c r="F2231">
        <v>1</v>
      </c>
      <c r="G2231">
        <v>0</v>
      </c>
      <c r="H2231">
        <v>212</v>
      </c>
      <c r="I2231" s="183" t="s">
        <v>1062</v>
      </c>
      <c r="J2231" s="183" t="s">
        <v>12091</v>
      </c>
      <c r="K2231">
        <v>0</v>
      </c>
      <c r="L2231">
        <v>211</v>
      </c>
    </row>
    <row r="2232" spans="1:12">
      <c r="A2232" s="183" t="s">
        <v>756</v>
      </c>
      <c r="B2232" s="183" t="s">
        <v>1101</v>
      </c>
      <c r="C2232">
        <v>64001240</v>
      </c>
      <c r="D2232">
        <v>816</v>
      </c>
      <c r="E2232">
        <v>0</v>
      </c>
      <c r="F2232">
        <v>0</v>
      </c>
      <c r="G2232">
        <v>0</v>
      </c>
      <c r="H2232">
        <v>816</v>
      </c>
      <c r="I2232" s="183" t="s">
        <v>1062</v>
      </c>
      <c r="J2232" s="183" t="s">
        <v>12060</v>
      </c>
      <c r="K2232">
        <v>0</v>
      </c>
      <c r="L2232">
        <v>816</v>
      </c>
    </row>
    <row r="2233" spans="1:12">
      <c r="A2233" s="183" t="s">
        <v>5229</v>
      </c>
      <c r="B2233" s="183" t="s">
        <v>5230</v>
      </c>
      <c r="C2233">
        <v>64003202</v>
      </c>
      <c r="D2233">
        <v>408</v>
      </c>
      <c r="E2233">
        <v>0</v>
      </c>
      <c r="F2233">
        <v>1</v>
      </c>
      <c r="G2233">
        <v>0</v>
      </c>
      <c r="H2233">
        <v>409</v>
      </c>
      <c r="I2233" s="183" t="s">
        <v>1012</v>
      </c>
      <c r="J2233" s="183" t="s">
        <v>12094</v>
      </c>
      <c r="K2233">
        <v>0</v>
      </c>
      <c r="L2233">
        <v>408</v>
      </c>
    </row>
    <row r="2234" spans="1:12">
      <c r="A2234" s="183" t="s">
        <v>6107</v>
      </c>
      <c r="B2234" s="183" t="s">
        <v>6108</v>
      </c>
      <c r="C2234">
        <v>64003211</v>
      </c>
      <c r="D2234">
        <v>500</v>
      </c>
      <c r="E2234">
        <v>0</v>
      </c>
      <c r="F2234">
        <v>2</v>
      </c>
      <c r="G2234">
        <v>0</v>
      </c>
      <c r="H2234">
        <v>502</v>
      </c>
      <c r="I2234" s="183" t="s">
        <v>1012</v>
      </c>
      <c r="J2234" s="183" t="s">
        <v>12095</v>
      </c>
      <c r="K2234">
        <v>0</v>
      </c>
      <c r="L2234">
        <v>500</v>
      </c>
    </row>
    <row r="2235" spans="1:12">
      <c r="A2235" s="183" t="s">
        <v>6229</v>
      </c>
      <c r="B2235" s="183" t="s">
        <v>6230</v>
      </c>
      <c r="C2235">
        <v>64003222</v>
      </c>
      <c r="D2235">
        <v>548</v>
      </c>
      <c r="E2235">
        <v>0</v>
      </c>
      <c r="F2235">
        <v>0</v>
      </c>
      <c r="G2235">
        <v>0</v>
      </c>
      <c r="H2235">
        <v>548</v>
      </c>
      <c r="I2235" s="183" t="s">
        <v>1012</v>
      </c>
      <c r="J2235" s="183" t="s">
        <v>12081</v>
      </c>
      <c r="K2235">
        <v>0</v>
      </c>
      <c r="L2235">
        <v>548</v>
      </c>
    </row>
    <row r="2236" spans="1:12">
      <c r="A2236" s="183" t="s">
        <v>6231</v>
      </c>
      <c r="B2236" s="183" t="s">
        <v>6232</v>
      </c>
      <c r="C2236">
        <v>64003224</v>
      </c>
      <c r="D2236">
        <v>623</v>
      </c>
      <c r="E2236">
        <v>0</v>
      </c>
      <c r="F2236">
        <v>0</v>
      </c>
      <c r="G2236">
        <v>0</v>
      </c>
      <c r="H2236">
        <v>623</v>
      </c>
      <c r="I2236" s="183" t="s">
        <v>1012</v>
      </c>
      <c r="J2236" s="183" t="s">
        <v>12048</v>
      </c>
      <c r="K2236">
        <v>0</v>
      </c>
      <c r="L2236">
        <v>623</v>
      </c>
    </row>
    <row r="2237" spans="1:12">
      <c r="A2237" s="183" t="s">
        <v>6109</v>
      </c>
      <c r="B2237" s="183" t="s">
        <v>6110</v>
      </c>
      <c r="C2237">
        <v>64003232</v>
      </c>
      <c r="D2237">
        <v>596</v>
      </c>
      <c r="E2237">
        <v>0</v>
      </c>
      <c r="F2237">
        <v>0</v>
      </c>
      <c r="G2237">
        <v>0</v>
      </c>
      <c r="H2237">
        <v>596</v>
      </c>
      <c r="I2237" s="183" t="s">
        <v>1012</v>
      </c>
      <c r="J2237" s="183" t="s">
        <v>12048</v>
      </c>
      <c r="K2237">
        <v>0</v>
      </c>
      <c r="L2237">
        <v>596</v>
      </c>
    </row>
    <row r="2238" spans="1:12">
      <c r="A2238" s="183" t="s">
        <v>6233</v>
      </c>
      <c r="B2238" s="183" t="s">
        <v>6234</v>
      </c>
      <c r="C2238">
        <v>64003234</v>
      </c>
      <c r="D2238">
        <v>165</v>
      </c>
      <c r="E2238">
        <v>0</v>
      </c>
      <c r="F2238">
        <v>0</v>
      </c>
      <c r="G2238">
        <v>0</v>
      </c>
      <c r="H2238">
        <v>165</v>
      </c>
      <c r="I2238" s="183" t="s">
        <v>1012</v>
      </c>
      <c r="J2238" s="183" t="s">
        <v>12093</v>
      </c>
      <c r="K2238">
        <v>0</v>
      </c>
      <c r="L2238">
        <v>165</v>
      </c>
    </row>
    <row r="2239" spans="1:12">
      <c r="A2239" s="183" t="s">
        <v>233</v>
      </c>
      <c r="B2239" s="183" t="s">
        <v>1302</v>
      </c>
      <c r="C2239">
        <v>64003238</v>
      </c>
      <c r="D2239">
        <v>662</v>
      </c>
      <c r="E2239">
        <v>0</v>
      </c>
      <c r="F2239">
        <v>0</v>
      </c>
      <c r="G2239">
        <v>0</v>
      </c>
      <c r="H2239">
        <v>662</v>
      </c>
      <c r="I2239" s="183" t="s">
        <v>1012</v>
      </c>
      <c r="J2239" s="183" t="s">
        <v>12081</v>
      </c>
      <c r="K2239">
        <v>0</v>
      </c>
      <c r="L2239">
        <v>662</v>
      </c>
    </row>
    <row r="2240" spans="1:12">
      <c r="A2240" s="183" t="s">
        <v>3097</v>
      </c>
      <c r="B2240" s="183" t="s">
        <v>3098</v>
      </c>
      <c r="C2240">
        <v>11860208</v>
      </c>
      <c r="D2240">
        <v>174</v>
      </c>
      <c r="E2240">
        <v>0</v>
      </c>
      <c r="F2240">
        <v>0</v>
      </c>
      <c r="G2240">
        <v>0</v>
      </c>
      <c r="H2240">
        <v>174</v>
      </c>
      <c r="I2240" s="183" t="s">
        <v>1052</v>
      </c>
      <c r="J2240" s="183" t="s">
        <v>12093</v>
      </c>
      <c r="K2240">
        <v>0</v>
      </c>
      <c r="L2240">
        <v>174</v>
      </c>
    </row>
    <row r="2241" spans="1:12">
      <c r="A2241" s="183" t="s">
        <v>283</v>
      </c>
      <c r="B2241" s="183" t="s">
        <v>284</v>
      </c>
      <c r="C2241">
        <v>2290232</v>
      </c>
      <c r="D2241">
        <v>15</v>
      </c>
      <c r="E2241">
        <v>0</v>
      </c>
      <c r="F2241">
        <v>0</v>
      </c>
      <c r="G2241">
        <v>0</v>
      </c>
      <c r="H2241">
        <v>15</v>
      </c>
      <c r="I2241" s="183" t="s">
        <v>1053</v>
      </c>
      <c r="J2241" s="183" t="s">
        <v>12091</v>
      </c>
      <c r="K2241">
        <v>0</v>
      </c>
      <c r="L2241">
        <v>15</v>
      </c>
    </row>
    <row r="2242" spans="1:12">
      <c r="A2242" s="183" t="s">
        <v>285</v>
      </c>
      <c r="B2242" s="183" t="s">
        <v>286</v>
      </c>
      <c r="C2242">
        <v>2290236</v>
      </c>
      <c r="D2242">
        <v>26</v>
      </c>
      <c r="E2242">
        <v>0</v>
      </c>
      <c r="F2242">
        <v>0</v>
      </c>
      <c r="G2242">
        <v>0</v>
      </c>
      <c r="H2242">
        <v>26</v>
      </c>
      <c r="I2242" s="183" t="s">
        <v>1053</v>
      </c>
      <c r="J2242" s="183" t="s">
        <v>12081</v>
      </c>
      <c r="K2242">
        <v>0</v>
      </c>
      <c r="L2242">
        <v>26</v>
      </c>
    </row>
    <row r="2243" spans="1:12">
      <c r="A2243" s="183" t="s">
        <v>5781</v>
      </c>
      <c r="B2243" s="183" t="s">
        <v>5782</v>
      </c>
      <c r="C2243">
        <v>63009200</v>
      </c>
      <c r="D2243">
        <v>379</v>
      </c>
      <c r="E2243">
        <v>0</v>
      </c>
      <c r="F2243">
        <v>0</v>
      </c>
      <c r="G2243">
        <v>0</v>
      </c>
      <c r="H2243">
        <v>379</v>
      </c>
      <c r="I2243" s="183" t="s">
        <v>1093</v>
      </c>
      <c r="J2243" s="183" t="s">
        <v>12059</v>
      </c>
      <c r="K2243">
        <v>0</v>
      </c>
      <c r="L2243">
        <v>379</v>
      </c>
    </row>
    <row r="2244" spans="1:12">
      <c r="A2244" s="183" t="s">
        <v>4988</v>
      </c>
      <c r="B2244" s="183" t="s">
        <v>4989</v>
      </c>
      <c r="C2244">
        <v>63009204</v>
      </c>
      <c r="D2244">
        <v>197</v>
      </c>
      <c r="E2244">
        <v>0</v>
      </c>
      <c r="F2244">
        <v>0</v>
      </c>
      <c r="G2244">
        <v>0</v>
      </c>
      <c r="H2244">
        <v>197</v>
      </c>
      <c r="I2244" s="183" t="s">
        <v>1093</v>
      </c>
      <c r="J2244" s="183" t="s">
        <v>12052</v>
      </c>
      <c r="K2244">
        <v>0</v>
      </c>
      <c r="L2244">
        <v>197</v>
      </c>
    </row>
    <row r="2245" spans="1:12">
      <c r="A2245" s="183" t="s">
        <v>6235</v>
      </c>
      <c r="B2245" s="183" t="s">
        <v>6236</v>
      </c>
      <c r="C2245">
        <v>63009217</v>
      </c>
      <c r="D2245">
        <v>358</v>
      </c>
      <c r="E2245">
        <v>0</v>
      </c>
      <c r="F2245">
        <v>0</v>
      </c>
      <c r="G2245">
        <v>0</v>
      </c>
      <c r="H2245">
        <v>358</v>
      </c>
      <c r="I2245" s="183" t="s">
        <v>1093</v>
      </c>
      <c r="J2245" s="183" t="s">
        <v>12058</v>
      </c>
      <c r="K2245">
        <v>0</v>
      </c>
      <c r="L2245">
        <v>358</v>
      </c>
    </row>
    <row r="2246" spans="1:12">
      <c r="A2246" s="183" t="s">
        <v>1297</v>
      </c>
      <c r="B2246" s="183" t="s">
        <v>1298</v>
      </c>
      <c r="C2246">
        <v>63009223</v>
      </c>
      <c r="D2246">
        <v>402</v>
      </c>
      <c r="E2246">
        <v>0</v>
      </c>
      <c r="F2246">
        <v>0</v>
      </c>
      <c r="G2246">
        <v>0</v>
      </c>
      <c r="H2246">
        <v>402</v>
      </c>
      <c r="I2246" s="183" t="s">
        <v>1093</v>
      </c>
      <c r="J2246" s="183" t="s">
        <v>12092</v>
      </c>
      <c r="K2246">
        <v>0</v>
      </c>
      <c r="L2246">
        <v>402</v>
      </c>
    </row>
    <row r="2247" spans="1:12">
      <c r="A2247" s="183" t="s">
        <v>1091</v>
      </c>
      <c r="B2247" s="183" t="s">
        <v>1092</v>
      </c>
      <c r="C2247">
        <v>63009236</v>
      </c>
      <c r="D2247">
        <v>175</v>
      </c>
      <c r="E2247">
        <v>0</v>
      </c>
      <c r="F2247">
        <v>0</v>
      </c>
      <c r="G2247">
        <v>0</v>
      </c>
      <c r="H2247">
        <v>175</v>
      </c>
      <c r="I2247" s="183" t="s">
        <v>1093</v>
      </c>
      <c r="J2247" s="183" t="s">
        <v>12055</v>
      </c>
      <c r="K2247">
        <v>0</v>
      </c>
      <c r="L2247">
        <v>175</v>
      </c>
    </row>
    <row r="2248" spans="1:12">
      <c r="A2248" s="183" t="s">
        <v>3090</v>
      </c>
      <c r="B2248" s="183" t="s">
        <v>1064</v>
      </c>
      <c r="C2248">
        <v>100075180</v>
      </c>
      <c r="D2248">
        <v>186</v>
      </c>
      <c r="E2248">
        <v>0</v>
      </c>
      <c r="F2248">
        <v>0</v>
      </c>
      <c r="G2248">
        <v>0</v>
      </c>
      <c r="H2248">
        <v>186</v>
      </c>
      <c r="I2248" s="183" t="s">
        <v>1065</v>
      </c>
      <c r="J2248" s="183" t="s">
        <v>12052</v>
      </c>
      <c r="K2248">
        <v>0</v>
      </c>
      <c r="L2248">
        <v>186</v>
      </c>
    </row>
    <row r="2249" spans="1:12">
      <c r="A2249" s="183" t="s">
        <v>6406</v>
      </c>
      <c r="B2249" s="183" t="s">
        <v>1064</v>
      </c>
      <c r="C2249">
        <v>100125180</v>
      </c>
      <c r="D2249">
        <v>306</v>
      </c>
      <c r="E2249">
        <v>0</v>
      </c>
      <c r="F2249">
        <v>0</v>
      </c>
      <c r="G2249">
        <v>0</v>
      </c>
      <c r="H2249">
        <v>306</v>
      </c>
      <c r="I2249" s="183" t="s">
        <v>1065</v>
      </c>
      <c r="J2249" s="183" t="s">
        <v>12058</v>
      </c>
      <c r="K2249">
        <v>0</v>
      </c>
      <c r="L2249">
        <v>306</v>
      </c>
    </row>
    <row r="2250" spans="1:12">
      <c r="A2250" s="183" t="s">
        <v>295</v>
      </c>
      <c r="B2250" s="183" t="s">
        <v>1064</v>
      </c>
      <c r="C2250">
        <v>150175180</v>
      </c>
      <c r="D2250">
        <v>89</v>
      </c>
      <c r="E2250">
        <v>0</v>
      </c>
      <c r="F2250">
        <v>0</v>
      </c>
      <c r="G2250">
        <v>0</v>
      </c>
      <c r="H2250">
        <v>89</v>
      </c>
      <c r="I2250" s="183" t="s">
        <v>1065</v>
      </c>
      <c r="J2250" s="183" t="s">
        <v>12093</v>
      </c>
      <c r="K2250">
        <v>0</v>
      </c>
      <c r="L2250">
        <v>89</v>
      </c>
    </row>
    <row r="2251" spans="1:12">
      <c r="A2251" s="183" t="s">
        <v>5175</v>
      </c>
      <c r="B2251" s="183" t="s">
        <v>1064</v>
      </c>
      <c r="C2251">
        <v>400175180</v>
      </c>
      <c r="D2251">
        <v>211</v>
      </c>
      <c r="E2251">
        <v>0</v>
      </c>
      <c r="F2251">
        <v>0</v>
      </c>
      <c r="G2251">
        <v>0</v>
      </c>
      <c r="H2251">
        <v>211</v>
      </c>
      <c r="I2251" s="183" t="s">
        <v>1065</v>
      </c>
      <c r="J2251" s="183" t="s">
        <v>12093</v>
      </c>
      <c r="K2251">
        <v>0</v>
      </c>
      <c r="L2251">
        <v>211</v>
      </c>
    </row>
    <row r="2252" spans="1:12">
      <c r="A2252" s="183" t="s">
        <v>5219</v>
      </c>
      <c r="B2252" s="183" t="s">
        <v>1064</v>
      </c>
      <c r="C2252">
        <v>425125180</v>
      </c>
      <c r="D2252">
        <v>626</v>
      </c>
      <c r="E2252">
        <v>0</v>
      </c>
      <c r="F2252">
        <v>0</v>
      </c>
      <c r="G2252">
        <v>0</v>
      </c>
      <c r="H2252">
        <v>626</v>
      </c>
      <c r="I2252" s="183" t="s">
        <v>1065</v>
      </c>
      <c r="J2252" s="183" t="s">
        <v>12059</v>
      </c>
      <c r="K2252">
        <v>0</v>
      </c>
      <c r="L2252">
        <v>626</v>
      </c>
    </row>
    <row r="2253" spans="1:12">
      <c r="A2253" s="183" t="s">
        <v>5176</v>
      </c>
      <c r="B2253" s="183" t="s">
        <v>1064</v>
      </c>
      <c r="C2253">
        <v>500125180</v>
      </c>
      <c r="D2253">
        <v>605</v>
      </c>
      <c r="E2253">
        <v>0</v>
      </c>
      <c r="F2253">
        <v>0</v>
      </c>
      <c r="G2253">
        <v>0</v>
      </c>
      <c r="H2253">
        <v>605</v>
      </c>
      <c r="I2253" s="183" t="s">
        <v>1065</v>
      </c>
      <c r="J2253" s="183" t="s">
        <v>12092</v>
      </c>
      <c r="K2253">
        <v>0</v>
      </c>
      <c r="L2253">
        <v>605</v>
      </c>
    </row>
    <row r="2254" spans="1:12">
      <c r="A2254" s="183" t="s">
        <v>6332</v>
      </c>
      <c r="B2254" s="183" t="s">
        <v>1064</v>
      </c>
      <c r="C2254">
        <v>525075180</v>
      </c>
      <c r="D2254">
        <v>131</v>
      </c>
      <c r="E2254">
        <v>0</v>
      </c>
      <c r="F2254">
        <v>0</v>
      </c>
      <c r="G2254">
        <v>0</v>
      </c>
      <c r="H2254">
        <v>131</v>
      </c>
      <c r="I2254" s="183" t="s">
        <v>1065</v>
      </c>
      <c r="J2254" s="183" t="s">
        <v>12060</v>
      </c>
      <c r="K2254">
        <v>0</v>
      </c>
      <c r="L2254">
        <v>131</v>
      </c>
    </row>
    <row r="2255" spans="1:12">
      <c r="A2255" s="183" t="s">
        <v>4627</v>
      </c>
      <c r="B2255" s="183" t="s">
        <v>1064</v>
      </c>
      <c r="C2255">
        <v>550125180</v>
      </c>
      <c r="D2255">
        <v>628</v>
      </c>
      <c r="E2255">
        <v>0</v>
      </c>
      <c r="F2255">
        <v>0</v>
      </c>
      <c r="G2255">
        <v>0</v>
      </c>
      <c r="H2255">
        <v>628</v>
      </c>
      <c r="I2255" s="183" t="s">
        <v>1065</v>
      </c>
      <c r="J2255" s="183" t="s">
        <v>12052</v>
      </c>
      <c r="K2255">
        <v>0</v>
      </c>
      <c r="L2255">
        <v>628</v>
      </c>
    </row>
    <row r="2256" spans="1:12">
      <c r="A2256" s="183" t="s">
        <v>3500</v>
      </c>
      <c r="B2256" s="183" t="s">
        <v>1064</v>
      </c>
      <c r="C2256">
        <v>600075180</v>
      </c>
      <c r="D2256">
        <v>224</v>
      </c>
      <c r="E2256">
        <v>0</v>
      </c>
      <c r="F2256">
        <v>0</v>
      </c>
      <c r="G2256">
        <v>0</v>
      </c>
      <c r="H2256">
        <v>224</v>
      </c>
      <c r="I2256" s="183" t="s">
        <v>1065</v>
      </c>
      <c r="J2256" s="183" t="s">
        <v>12056</v>
      </c>
      <c r="K2256">
        <v>0</v>
      </c>
      <c r="L2256">
        <v>224</v>
      </c>
    </row>
    <row r="2257" spans="1:12">
      <c r="A2257" s="183" t="s">
        <v>3228</v>
      </c>
      <c r="B2257" s="183" t="s">
        <v>1032</v>
      </c>
      <c r="C2257">
        <v>73860206</v>
      </c>
      <c r="D2257">
        <v>501</v>
      </c>
      <c r="E2257">
        <v>0</v>
      </c>
      <c r="F2257">
        <v>0</v>
      </c>
      <c r="G2257">
        <v>0</v>
      </c>
      <c r="H2257">
        <v>501</v>
      </c>
      <c r="I2257" s="183" t="s">
        <v>1033</v>
      </c>
      <c r="J2257" s="183" t="s">
        <v>12060</v>
      </c>
      <c r="K2257">
        <v>0</v>
      </c>
      <c r="L2257">
        <v>501</v>
      </c>
    </row>
    <row r="2258" spans="1:12">
      <c r="A2258" s="183" t="s">
        <v>1186</v>
      </c>
      <c r="B2258" s="183" t="s">
        <v>1032</v>
      </c>
      <c r="C2258">
        <v>73860207</v>
      </c>
      <c r="D2258">
        <v>235</v>
      </c>
      <c r="E2258">
        <v>0</v>
      </c>
      <c r="F2258">
        <v>0</v>
      </c>
      <c r="G2258">
        <v>0</v>
      </c>
      <c r="H2258">
        <v>235</v>
      </c>
      <c r="I2258" s="183" t="s">
        <v>1033</v>
      </c>
      <c r="J2258" s="183" t="s">
        <v>12092</v>
      </c>
      <c r="K2258">
        <v>0</v>
      </c>
      <c r="L2258">
        <v>235</v>
      </c>
    </row>
    <row r="2259" spans="1:12">
      <c r="A2259" s="183" t="s">
        <v>5869</v>
      </c>
      <c r="B2259" s="183" t="s">
        <v>1032</v>
      </c>
      <c r="C2259">
        <v>73860228</v>
      </c>
      <c r="D2259">
        <v>67</v>
      </c>
      <c r="E2259">
        <v>0</v>
      </c>
      <c r="F2259">
        <v>0</v>
      </c>
      <c r="G2259">
        <v>0</v>
      </c>
      <c r="H2259">
        <v>67</v>
      </c>
      <c r="I2259" s="183" t="s">
        <v>1033</v>
      </c>
      <c r="J2259" s="183" t="s">
        <v>12053</v>
      </c>
      <c r="K2259">
        <v>0</v>
      </c>
      <c r="L2259">
        <v>67</v>
      </c>
    </row>
    <row r="2260" spans="1:12">
      <c r="A2260" s="183" t="s">
        <v>304</v>
      </c>
      <c r="B2260" s="183" t="s">
        <v>1060</v>
      </c>
      <c r="C2260">
        <v>125180154</v>
      </c>
      <c r="D2260">
        <v>180</v>
      </c>
      <c r="E2260">
        <v>0</v>
      </c>
      <c r="F2260">
        <v>0</v>
      </c>
      <c r="G2260">
        <v>0</v>
      </c>
      <c r="H2260">
        <v>180</v>
      </c>
      <c r="I2260" s="183" t="s">
        <v>1061</v>
      </c>
      <c r="J2260" s="183" t="s">
        <v>12053</v>
      </c>
      <c r="K2260">
        <v>0</v>
      </c>
      <c r="L2260">
        <v>180</v>
      </c>
    </row>
    <row r="2261" spans="1:12">
      <c r="A2261" s="183" t="s">
        <v>309</v>
      </c>
      <c r="B2261" s="183" t="s">
        <v>1060</v>
      </c>
      <c r="C2261">
        <v>75125180154</v>
      </c>
      <c r="D2261">
        <v>443</v>
      </c>
      <c r="E2261">
        <v>0</v>
      </c>
      <c r="F2261">
        <v>0</v>
      </c>
      <c r="G2261">
        <v>0</v>
      </c>
      <c r="H2261">
        <v>443</v>
      </c>
      <c r="I2261" s="183" t="s">
        <v>1061</v>
      </c>
      <c r="J2261" s="183" t="s">
        <v>12093</v>
      </c>
      <c r="K2261">
        <v>0</v>
      </c>
      <c r="L2261">
        <v>443</v>
      </c>
    </row>
    <row r="2262" spans="1:12">
      <c r="A2262" s="183" t="s">
        <v>332</v>
      </c>
      <c r="B2262" s="183" t="s">
        <v>1060</v>
      </c>
      <c r="C2262">
        <v>300125180154</v>
      </c>
      <c r="D2262">
        <v>427</v>
      </c>
      <c r="E2262">
        <v>0</v>
      </c>
      <c r="F2262">
        <v>0</v>
      </c>
      <c r="G2262">
        <v>0</v>
      </c>
      <c r="H2262">
        <v>427</v>
      </c>
      <c r="I2262" s="183" t="s">
        <v>1061</v>
      </c>
      <c r="J2262" s="183" t="s">
        <v>12067</v>
      </c>
      <c r="K2262">
        <v>0</v>
      </c>
      <c r="L2262">
        <v>427</v>
      </c>
    </row>
    <row r="2263" spans="1:12">
      <c r="A2263" s="183" t="s">
        <v>6127</v>
      </c>
      <c r="B2263" s="183" t="s">
        <v>1060</v>
      </c>
      <c r="C2263">
        <v>300175180154</v>
      </c>
      <c r="D2263">
        <v>24</v>
      </c>
      <c r="E2263">
        <v>0</v>
      </c>
      <c r="F2263">
        <v>0</v>
      </c>
      <c r="G2263">
        <v>0</v>
      </c>
      <c r="H2263">
        <v>24</v>
      </c>
      <c r="I2263" s="183" t="s">
        <v>1061</v>
      </c>
      <c r="J2263" s="183" t="s">
        <v>12054</v>
      </c>
      <c r="K2263">
        <v>0</v>
      </c>
      <c r="L2263">
        <v>24</v>
      </c>
    </row>
    <row r="2264" spans="1:12">
      <c r="A2264" s="183" t="s">
        <v>334</v>
      </c>
      <c r="B2264" s="183" t="s">
        <v>1060</v>
      </c>
      <c r="C2264">
        <v>325175180154</v>
      </c>
      <c r="D2264">
        <v>83</v>
      </c>
      <c r="E2264">
        <v>0</v>
      </c>
      <c r="F2264">
        <v>0</v>
      </c>
      <c r="G2264">
        <v>0</v>
      </c>
      <c r="H2264">
        <v>83</v>
      </c>
      <c r="I2264" s="183" t="s">
        <v>1061</v>
      </c>
      <c r="J2264" s="183" t="s">
        <v>12092</v>
      </c>
      <c r="K2264">
        <v>0</v>
      </c>
      <c r="L2264">
        <v>83</v>
      </c>
    </row>
    <row r="2265" spans="1:12">
      <c r="A2265" s="183" t="s">
        <v>3176</v>
      </c>
      <c r="B2265" s="183" t="s">
        <v>1060</v>
      </c>
      <c r="C2265">
        <v>350075180154</v>
      </c>
      <c r="D2265">
        <v>67</v>
      </c>
      <c r="E2265">
        <v>0</v>
      </c>
      <c r="F2265">
        <v>0</v>
      </c>
      <c r="G2265">
        <v>0</v>
      </c>
      <c r="H2265">
        <v>67</v>
      </c>
      <c r="I2265" s="183" t="s">
        <v>1061</v>
      </c>
      <c r="J2265" s="183" t="s">
        <v>12081</v>
      </c>
      <c r="K2265">
        <v>0</v>
      </c>
      <c r="L2265">
        <v>67</v>
      </c>
    </row>
    <row r="2266" spans="1:12">
      <c r="A2266" s="183" t="s">
        <v>6128</v>
      </c>
      <c r="B2266" s="183" t="s">
        <v>1060</v>
      </c>
      <c r="C2266">
        <v>400125180154</v>
      </c>
      <c r="D2266">
        <v>262</v>
      </c>
      <c r="E2266">
        <v>0</v>
      </c>
      <c r="F2266">
        <v>0</v>
      </c>
      <c r="G2266">
        <v>0</v>
      </c>
      <c r="H2266">
        <v>262</v>
      </c>
      <c r="I2266" s="183" t="s">
        <v>1061</v>
      </c>
      <c r="J2266" s="183" t="s">
        <v>12081</v>
      </c>
      <c r="K2266">
        <v>0</v>
      </c>
      <c r="L2266">
        <v>262</v>
      </c>
    </row>
    <row r="2267" spans="1:12">
      <c r="A2267" s="183" t="s">
        <v>6129</v>
      </c>
      <c r="B2267" s="183" t="s">
        <v>1060</v>
      </c>
      <c r="C2267">
        <v>550175180154</v>
      </c>
      <c r="D2267">
        <v>91</v>
      </c>
      <c r="E2267">
        <v>0</v>
      </c>
      <c r="F2267">
        <v>0</v>
      </c>
      <c r="G2267">
        <v>0</v>
      </c>
      <c r="H2267">
        <v>91</v>
      </c>
      <c r="I2267" s="183" t="s">
        <v>1061</v>
      </c>
      <c r="J2267" s="183" t="s">
        <v>12081</v>
      </c>
      <c r="K2267">
        <v>0</v>
      </c>
      <c r="L2267">
        <v>91</v>
      </c>
    </row>
    <row r="2268" spans="1:12">
      <c r="A2268" s="183" t="s">
        <v>347</v>
      </c>
      <c r="B2268" s="183" t="s">
        <v>1060</v>
      </c>
      <c r="C2268">
        <v>600075180154</v>
      </c>
      <c r="D2268">
        <v>51</v>
      </c>
      <c r="E2268">
        <v>0</v>
      </c>
      <c r="F2268">
        <v>0</v>
      </c>
      <c r="G2268">
        <v>0</v>
      </c>
      <c r="H2268">
        <v>51</v>
      </c>
      <c r="I2268" s="183" t="s">
        <v>1061</v>
      </c>
      <c r="J2268" s="183" t="s">
        <v>12092</v>
      </c>
      <c r="K2268">
        <v>0</v>
      </c>
      <c r="L2268">
        <v>51</v>
      </c>
    </row>
    <row r="2269" spans="1:12">
      <c r="A2269" s="183" t="s">
        <v>349</v>
      </c>
      <c r="B2269" s="183" t="s">
        <v>1060</v>
      </c>
      <c r="C2269">
        <v>700075180154</v>
      </c>
      <c r="D2269">
        <v>156</v>
      </c>
      <c r="E2269">
        <v>0</v>
      </c>
      <c r="F2269">
        <v>0</v>
      </c>
      <c r="G2269">
        <v>0</v>
      </c>
      <c r="H2269">
        <v>156</v>
      </c>
      <c r="I2269" s="183" t="s">
        <v>1061</v>
      </c>
      <c r="J2269" s="183" t="s">
        <v>12059</v>
      </c>
      <c r="K2269">
        <v>0</v>
      </c>
      <c r="L2269">
        <v>156</v>
      </c>
    </row>
    <row r="2270" spans="1:12">
      <c r="A2270" s="183" t="s">
        <v>4061</v>
      </c>
      <c r="B2270" s="183" t="s">
        <v>3978</v>
      </c>
      <c r="C2270">
        <v>8800269001730</v>
      </c>
      <c r="D2270">
        <v>19</v>
      </c>
      <c r="E2270">
        <v>0</v>
      </c>
      <c r="F2270">
        <v>0</v>
      </c>
      <c r="G2270">
        <v>0</v>
      </c>
      <c r="H2270">
        <v>19</v>
      </c>
      <c r="I2270" s="183" t="s">
        <v>3979</v>
      </c>
      <c r="J2270" s="183" t="s">
        <v>12091</v>
      </c>
      <c r="K2270">
        <v>0</v>
      </c>
      <c r="L2270">
        <v>19</v>
      </c>
    </row>
    <row r="2271" spans="1:12">
      <c r="A2271" s="183" t="s">
        <v>4191</v>
      </c>
      <c r="B2271" s="183" t="s">
        <v>3978</v>
      </c>
      <c r="C2271">
        <v>8800269001815</v>
      </c>
      <c r="D2271">
        <v>48</v>
      </c>
      <c r="E2271">
        <v>0</v>
      </c>
      <c r="F2271">
        <v>0</v>
      </c>
      <c r="G2271">
        <v>0</v>
      </c>
      <c r="H2271">
        <v>48</v>
      </c>
      <c r="I2271" s="183" t="s">
        <v>3979</v>
      </c>
      <c r="J2271" s="183" t="s">
        <v>12094</v>
      </c>
      <c r="K2271">
        <v>0</v>
      </c>
      <c r="L2271">
        <v>48</v>
      </c>
    </row>
    <row r="2272" spans="1:12">
      <c r="A2272" s="183" t="s">
        <v>2205</v>
      </c>
      <c r="B2272" s="183" t="s">
        <v>1646</v>
      </c>
      <c r="C2272">
        <v>65100210</v>
      </c>
      <c r="D2272">
        <v>97</v>
      </c>
      <c r="E2272">
        <v>0</v>
      </c>
      <c r="F2272">
        <v>0</v>
      </c>
      <c r="G2272">
        <v>0</v>
      </c>
      <c r="H2272">
        <v>97</v>
      </c>
      <c r="I2272" s="183" t="s">
        <v>1369</v>
      </c>
      <c r="J2272" s="183" t="s">
        <v>12061</v>
      </c>
      <c r="K2272">
        <v>0</v>
      </c>
      <c r="L2272">
        <v>97</v>
      </c>
    </row>
    <row r="2273" spans="1:12">
      <c r="A2273" s="183" t="s">
        <v>1709</v>
      </c>
      <c r="B2273" s="183" t="s">
        <v>1710</v>
      </c>
      <c r="C2273">
        <v>65100221</v>
      </c>
      <c r="D2273">
        <v>60</v>
      </c>
      <c r="E2273">
        <v>0</v>
      </c>
      <c r="F2273">
        <v>0</v>
      </c>
      <c r="G2273">
        <v>0</v>
      </c>
      <c r="H2273">
        <v>60</v>
      </c>
      <c r="I2273" s="183" t="s">
        <v>1369</v>
      </c>
      <c r="J2273" s="183" t="s">
        <v>12057</v>
      </c>
      <c r="K2273">
        <v>0</v>
      </c>
      <c r="L2273">
        <v>60</v>
      </c>
    </row>
    <row r="2274" spans="1:12">
      <c r="A2274" s="183" t="s">
        <v>4734</v>
      </c>
      <c r="B2274" s="183" t="s">
        <v>4718</v>
      </c>
      <c r="C2274">
        <v>8800308225806</v>
      </c>
      <c r="D2274">
        <v>332</v>
      </c>
      <c r="E2274">
        <v>0</v>
      </c>
      <c r="F2274">
        <v>0</v>
      </c>
      <c r="G2274">
        <v>0</v>
      </c>
      <c r="H2274">
        <v>332</v>
      </c>
      <c r="I2274" s="183" t="s">
        <v>4719</v>
      </c>
      <c r="J2274" s="183" t="s">
        <v>12067</v>
      </c>
      <c r="K2274">
        <v>0</v>
      </c>
      <c r="L2274">
        <v>332</v>
      </c>
    </row>
    <row r="2275" spans="1:12">
      <c r="A2275" s="183" t="s">
        <v>4877</v>
      </c>
      <c r="B2275" s="183" t="s">
        <v>4718</v>
      </c>
      <c r="C2275">
        <v>8800308225974</v>
      </c>
      <c r="D2275">
        <v>199</v>
      </c>
      <c r="E2275">
        <v>0</v>
      </c>
      <c r="F2275">
        <v>0</v>
      </c>
      <c r="G2275">
        <v>0</v>
      </c>
      <c r="H2275">
        <v>199</v>
      </c>
      <c r="I2275" s="183" t="s">
        <v>4719</v>
      </c>
      <c r="J2275" s="183" t="s">
        <v>12048</v>
      </c>
      <c r="K2275">
        <v>0</v>
      </c>
      <c r="L2275">
        <v>199</v>
      </c>
    </row>
    <row r="2276" spans="1:12">
      <c r="A2276" s="183" t="s">
        <v>4703</v>
      </c>
      <c r="B2276" s="183" t="s">
        <v>4673</v>
      </c>
      <c r="C2276">
        <v>8800308226117</v>
      </c>
      <c r="D2276">
        <v>446</v>
      </c>
      <c r="E2276">
        <v>0</v>
      </c>
      <c r="F2276">
        <v>0</v>
      </c>
      <c r="G2276">
        <v>0</v>
      </c>
      <c r="H2276">
        <v>446</v>
      </c>
      <c r="I2276" s="183" t="s">
        <v>4674</v>
      </c>
      <c r="J2276" s="183" t="s">
        <v>12095</v>
      </c>
      <c r="K2276">
        <v>0</v>
      </c>
      <c r="L2276">
        <v>446</v>
      </c>
    </row>
    <row r="2277" spans="1:12">
      <c r="A2277" s="183" t="s">
        <v>4704</v>
      </c>
      <c r="B2277" s="183" t="s">
        <v>4673</v>
      </c>
      <c r="C2277">
        <v>8800308226155</v>
      </c>
      <c r="D2277">
        <v>390</v>
      </c>
      <c r="E2277">
        <v>0</v>
      </c>
      <c r="F2277">
        <v>0</v>
      </c>
      <c r="G2277">
        <v>0</v>
      </c>
      <c r="H2277">
        <v>390</v>
      </c>
      <c r="I2277" s="183" t="s">
        <v>4674</v>
      </c>
      <c r="J2277" s="183" t="s">
        <v>12063</v>
      </c>
      <c r="K2277">
        <v>0</v>
      </c>
      <c r="L2277">
        <v>390</v>
      </c>
    </row>
    <row r="2278" spans="1:12">
      <c r="A2278" s="183" t="s">
        <v>4735</v>
      </c>
      <c r="B2278" s="183" t="s">
        <v>4685</v>
      </c>
      <c r="C2278">
        <v>8800308226353</v>
      </c>
      <c r="D2278">
        <v>369</v>
      </c>
      <c r="E2278">
        <v>0</v>
      </c>
      <c r="F2278">
        <v>0</v>
      </c>
      <c r="G2278">
        <v>0</v>
      </c>
      <c r="H2278">
        <v>369</v>
      </c>
      <c r="I2278" s="183" t="s">
        <v>4686</v>
      </c>
      <c r="J2278" s="183" t="s">
        <v>12092</v>
      </c>
      <c r="K2278">
        <v>0</v>
      </c>
      <c r="L2278">
        <v>369</v>
      </c>
    </row>
    <row r="2279" spans="1:12">
      <c r="A2279" s="183" t="s">
        <v>4736</v>
      </c>
      <c r="B2279" s="183" t="s">
        <v>4685</v>
      </c>
      <c r="C2279">
        <v>8800308226384</v>
      </c>
      <c r="D2279">
        <v>991</v>
      </c>
      <c r="E2279">
        <v>0</v>
      </c>
      <c r="F2279">
        <v>0</v>
      </c>
      <c r="G2279">
        <v>0</v>
      </c>
      <c r="H2279">
        <v>991</v>
      </c>
      <c r="I2279" s="183" t="s">
        <v>4686</v>
      </c>
      <c r="J2279" s="183" t="s">
        <v>12053</v>
      </c>
      <c r="K2279">
        <v>0</v>
      </c>
      <c r="L2279">
        <v>991</v>
      </c>
    </row>
    <row r="2280" spans="1:12">
      <c r="A2280" s="183" t="s">
        <v>4887</v>
      </c>
      <c r="B2280" s="183" t="s">
        <v>4685</v>
      </c>
      <c r="C2280">
        <v>8800308226452</v>
      </c>
      <c r="D2280">
        <v>104</v>
      </c>
      <c r="E2280">
        <v>0</v>
      </c>
      <c r="F2280">
        <v>0</v>
      </c>
      <c r="G2280">
        <v>0</v>
      </c>
      <c r="H2280">
        <v>104</v>
      </c>
      <c r="I2280" s="183" t="s">
        <v>4686</v>
      </c>
      <c r="J2280" s="183" t="s">
        <v>12087</v>
      </c>
      <c r="K2280">
        <v>0</v>
      </c>
      <c r="L2280">
        <v>104</v>
      </c>
    </row>
    <row r="2281" spans="1:12">
      <c r="A2281" s="183" t="s">
        <v>4972</v>
      </c>
      <c r="B2281" s="183" t="s">
        <v>4685</v>
      </c>
      <c r="C2281">
        <v>8800308226476</v>
      </c>
      <c r="D2281">
        <v>152</v>
      </c>
      <c r="E2281">
        <v>0</v>
      </c>
      <c r="F2281">
        <v>0</v>
      </c>
      <c r="G2281">
        <v>0</v>
      </c>
      <c r="H2281">
        <v>152</v>
      </c>
      <c r="I2281" s="183" t="s">
        <v>4686</v>
      </c>
      <c r="J2281" s="183" t="s">
        <v>12063</v>
      </c>
      <c r="K2281">
        <v>0</v>
      </c>
      <c r="L2281">
        <v>152</v>
      </c>
    </row>
    <row r="2282" spans="1:12">
      <c r="A2282" s="183" t="s">
        <v>4705</v>
      </c>
      <c r="B2282" s="183" t="s">
        <v>4676</v>
      </c>
      <c r="C2282">
        <v>8800308226483</v>
      </c>
      <c r="D2282">
        <v>307</v>
      </c>
      <c r="E2282">
        <v>0</v>
      </c>
      <c r="F2282">
        <v>0</v>
      </c>
      <c r="G2282">
        <v>0</v>
      </c>
      <c r="H2282">
        <v>307</v>
      </c>
      <c r="I2282" s="183" t="s">
        <v>4677</v>
      </c>
      <c r="J2282" s="183" t="s">
        <v>12087</v>
      </c>
      <c r="K2282">
        <v>0</v>
      </c>
      <c r="L2282">
        <v>307</v>
      </c>
    </row>
    <row r="2283" spans="1:12">
      <c r="A2283" s="183" t="s">
        <v>4706</v>
      </c>
      <c r="B2283" s="183" t="s">
        <v>4676</v>
      </c>
      <c r="C2283">
        <v>8800308226551</v>
      </c>
      <c r="D2283" s="501">
        <v>1104</v>
      </c>
      <c r="E2283">
        <v>0</v>
      </c>
      <c r="F2283">
        <v>0</v>
      </c>
      <c r="G2283">
        <v>0</v>
      </c>
      <c r="H2283" s="501">
        <v>1104</v>
      </c>
      <c r="I2283" s="183" t="s">
        <v>4677</v>
      </c>
      <c r="J2283" s="183" t="s">
        <v>12081</v>
      </c>
      <c r="K2283">
        <v>0</v>
      </c>
      <c r="L2283" s="501">
        <v>1104</v>
      </c>
    </row>
    <row r="2284" spans="1:12">
      <c r="A2284" s="183" t="s">
        <v>4707</v>
      </c>
      <c r="B2284" s="183" t="s">
        <v>4676</v>
      </c>
      <c r="C2284">
        <v>8800308226636</v>
      </c>
      <c r="D2284">
        <v>686</v>
      </c>
      <c r="E2284">
        <v>0</v>
      </c>
      <c r="F2284">
        <v>0</v>
      </c>
      <c r="G2284">
        <v>0</v>
      </c>
      <c r="H2284">
        <v>686</v>
      </c>
      <c r="I2284" s="183" t="s">
        <v>4677</v>
      </c>
      <c r="J2284" s="183" t="s">
        <v>12095</v>
      </c>
      <c r="K2284">
        <v>0</v>
      </c>
      <c r="L2284">
        <v>686</v>
      </c>
    </row>
    <row r="2285" spans="1:12">
      <c r="A2285" s="183" t="s">
        <v>4708</v>
      </c>
      <c r="B2285" s="183" t="s">
        <v>4676</v>
      </c>
      <c r="C2285">
        <v>8800308226650</v>
      </c>
      <c r="D2285">
        <v>727</v>
      </c>
      <c r="E2285">
        <v>0</v>
      </c>
      <c r="F2285">
        <v>0</v>
      </c>
      <c r="G2285">
        <v>0</v>
      </c>
      <c r="H2285">
        <v>727</v>
      </c>
      <c r="I2285" s="183" t="s">
        <v>4677</v>
      </c>
      <c r="J2285" s="183" t="s">
        <v>12048</v>
      </c>
      <c r="K2285">
        <v>0</v>
      </c>
      <c r="L2285">
        <v>727</v>
      </c>
    </row>
    <row r="2286" spans="1:12">
      <c r="A2286" s="183" t="s">
        <v>6155</v>
      </c>
      <c r="B2286" s="183" t="s">
        <v>6156</v>
      </c>
      <c r="C2286">
        <v>64002216</v>
      </c>
      <c r="D2286">
        <v>923</v>
      </c>
      <c r="E2286">
        <v>0</v>
      </c>
      <c r="F2286">
        <v>1</v>
      </c>
      <c r="G2286">
        <v>0</v>
      </c>
      <c r="H2286">
        <v>924</v>
      </c>
      <c r="I2286" s="183" t="s">
        <v>984</v>
      </c>
      <c r="J2286" s="183" t="s">
        <v>12060</v>
      </c>
      <c r="K2286">
        <v>0</v>
      </c>
      <c r="L2286">
        <v>923</v>
      </c>
    </row>
    <row r="2287" spans="1:12">
      <c r="A2287" s="183" t="s">
        <v>169</v>
      </c>
      <c r="B2287" s="183" t="s">
        <v>1395</v>
      </c>
      <c r="C2287">
        <v>61006216</v>
      </c>
      <c r="D2287">
        <v>283</v>
      </c>
      <c r="E2287">
        <v>0</v>
      </c>
      <c r="F2287">
        <v>0</v>
      </c>
      <c r="G2287">
        <v>0</v>
      </c>
      <c r="H2287">
        <v>283</v>
      </c>
      <c r="I2287" s="183" t="s">
        <v>1083</v>
      </c>
      <c r="J2287" s="183" t="s">
        <v>12052</v>
      </c>
      <c r="K2287">
        <v>0</v>
      </c>
      <c r="L2287">
        <v>283</v>
      </c>
    </row>
    <row r="2288" spans="1:12">
      <c r="A2288" s="183" t="s">
        <v>695</v>
      </c>
      <c r="B2288" s="183" t="s">
        <v>1087</v>
      </c>
      <c r="C2288">
        <v>61006223</v>
      </c>
      <c r="D2288">
        <v>355</v>
      </c>
      <c r="E2288">
        <v>0</v>
      </c>
      <c r="F2288">
        <v>0</v>
      </c>
      <c r="G2288">
        <v>0</v>
      </c>
      <c r="H2288">
        <v>355</v>
      </c>
      <c r="I2288" s="183" t="s">
        <v>1083</v>
      </c>
      <c r="J2288" s="183" t="s">
        <v>12056</v>
      </c>
      <c r="K2288">
        <v>0</v>
      </c>
      <c r="L2288">
        <v>355</v>
      </c>
    </row>
    <row r="2289" spans="1:12">
      <c r="A2289" s="183" t="s">
        <v>178</v>
      </c>
      <c r="B2289" s="183" t="s">
        <v>1525</v>
      </c>
      <c r="C2289">
        <v>61006232</v>
      </c>
      <c r="D2289">
        <v>262</v>
      </c>
      <c r="E2289">
        <v>0</v>
      </c>
      <c r="F2289">
        <v>3</v>
      </c>
      <c r="G2289">
        <v>0</v>
      </c>
      <c r="H2289">
        <v>265</v>
      </c>
      <c r="I2289" s="183" t="s">
        <v>1083</v>
      </c>
      <c r="J2289" s="183" t="s">
        <v>12060</v>
      </c>
      <c r="K2289">
        <v>0</v>
      </c>
      <c r="L2289">
        <v>262</v>
      </c>
    </row>
    <row r="2290" spans="1:12">
      <c r="A2290" s="183" t="s">
        <v>191</v>
      </c>
      <c r="B2290" s="183" t="s">
        <v>1547</v>
      </c>
      <c r="C2290">
        <v>61005215</v>
      </c>
      <c r="D2290">
        <v>405</v>
      </c>
      <c r="E2290">
        <v>0</v>
      </c>
      <c r="F2290">
        <v>1</v>
      </c>
      <c r="G2290">
        <v>0</v>
      </c>
      <c r="H2290">
        <v>406</v>
      </c>
      <c r="I2290" s="183" t="s">
        <v>1243</v>
      </c>
      <c r="J2290" s="183" t="s">
        <v>12050</v>
      </c>
      <c r="K2290">
        <v>0</v>
      </c>
      <c r="L2290">
        <v>405</v>
      </c>
    </row>
    <row r="2291" spans="1:12">
      <c r="A2291" s="183" t="s">
        <v>4913</v>
      </c>
      <c r="B2291" s="183" t="s">
        <v>1831</v>
      </c>
      <c r="C2291">
        <v>61005230</v>
      </c>
      <c r="D2291">
        <v>412</v>
      </c>
      <c r="E2291">
        <v>0</v>
      </c>
      <c r="F2291">
        <v>0</v>
      </c>
      <c r="G2291">
        <v>0</v>
      </c>
      <c r="H2291">
        <v>412</v>
      </c>
      <c r="I2291" s="183" t="s">
        <v>1243</v>
      </c>
      <c r="J2291" s="183" t="s">
        <v>12081</v>
      </c>
      <c r="K2291">
        <v>0</v>
      </c>
      <c r="L2291">
        <v>412</v>
      </c>
    </row>
    <row r="2292" spans="1:12">
      <c r="A2292" s="183" t="s">
        <v>202</v>
      </c>
      <c r="B2292" s="183" t="s">
        <v>1881</v>
      </c>
      <c r="C2292">
        <v>61005238</v>
      </c>
      <c r="D2292">
        <v>499</v>
      </c>
      <c r="E2292">
        <v>0</v>
      </c>
      <c r="F2292">
        <v>0</v>
      </c>
      <c r="G2292">
        <v>0</v>
      </c>
      <c r="H2292">
        <v>499</v>
      </c>
      <c r="I2292" s="183" t="s">
        <v>1243</v>
      </c>
      <c r="J2292" s="183" t="s">
        <v>12081</v>
      </c>
      <c r="K2292">
        <v>0</v>
      </c>
      <c r="L2292">
        <v>499</v>
      </c>
    </row>
    <row r="2293" spans="1:12">
      <c r="A2293" s="183" t="s">
        <v>203</v>
      </c>
      <c r="B2293" s="183" t="s">
        <v>2545</v>
      </c>
      <c r="C2293">
        <v>61005240</v>
      </c>
      <c r="D2293">
        <v>250</v>
      </c>
      <c r="E2293">
        <v>0</v>
      </c>
      <c r="F2293">
        <v>0</v>
      </c>
      <c r="G2293">
        <v>0</v>
      </c>
      <c r="H2293">
        <v>250</v>
      </c>
      <c r="I2293" s="183" t="s">
        <v>1243</v>
      </c>
      <c r="J2293" s="183" t="s">
        <v>12054</v>
      </c>
      <c r="K2293">
        <v>0</v>
      </c>
      <c r="L2293">
        <v>250</v>
      </c>
    </row>
    <row r="2294" spans="1:12">
      <c r="A2294" s="183" t="s">
        <v>4943</v>
      </c>
      <c r="B2294" s="183" t="s">
        <v>4944</v>
      </c>
      <c r="C2294">
        <v>61007206</v>
      </c>
      <c r="D2294">
        <v>323</v>
      </c>
      <c r="E2294">
        <v>0</v>
      </c>
      <c r="F2294">
        <v>0</v>
      </c>
      <c r="G2294">
        <v>0</v>
      </c>
      <c r="H2294">
        <v>323</v>
      </c>
      <c r="I2294" s="183" t="s">
        <v>1430</v>
      </c>
      <c r="J2294" s="183" t="s">
        <v>12056</v>
      </c>
      <c r="K2294">
        <v>0</v>
      </c>
      <c r="L2294">
        <v>323</v>
      </c>
    </row>
    <row r="2295" spans="1:12">
      <c r="A2295" s="183" t="s">
        <v>209</v>
      </c>
      <c r="B2295" s="183" t="s">
        <v>2210</v>
      </c>
      <c r="C2295">
        <v>61007209</v>
      </c>
      <c r="D2295">
        <v>340</v>
      </c>
      <c r="E2295">
        <v>0</v>
      </c>
      <c r="F2295">
        <v>0</v>
      </c>
      <c r="G2295">
        <v>0</v>
      </c>
      <c r="H2295">
        <v>340</v>
      </c>
      <c r="I2295" s="183" t="s">
        <v>1430</v>
      </c>
      <c r="J2295" s="183" t="s">
        <v>12052</v>
      </c>
      <c r="K2295">
        <v>0</v>
      </c>
      <c r="L2295">
        <v>340</v>
      </c>
    </row>
    <row r="2296" spans="1:12">
      <c r="A2296" s="183" t="s">
        <v>222</v>
      </c>
      <c r="B2296" s="183" t="s">
        <v>2543</v>
      </c>
      <c r="C2296">
        <v>61007234</v>
      </c>
      <c r="D2296">
        <v>558</v>
      </c>
      <c r="E2296">
        <v>0</v>
      </c>
      <c r="F2296">
        <v>0</v>
      </c>
      <c r="G2296">
        <v>0</v>
      </c>
      <c r="H2296">
        <v>558</v>
      </c>
      <c r="I2296" s="183" t="s">
        <v>1430</v>
      </c>
      <c r="J2296" s="183" t="s">
        <v>12057</v>
      </c>
      <c r="K2296">
        <v>0</v>
      </c>
      <c r="L2296">
        <v>558</v>
      </c>
    </row>
    <row r="2297" spans="1:12">
      <c r="A2297" s="183" t="s">
        <v>224</v>
      </c>
      <c r="B2297" s="183" t="s">
        <v>1545</v>
      </c>
      <c r="C2297">
        <v>61007238</v>
      </c>
      <c r="D2297">
        <v>260</v>
      </c>
      <c r="E2297">
        <v>0</v>
      </c>
      <c r="F2297">
        <v>0</v>
      </c>
      <c r="G2297">
        <v>0</v>
      </c>
      <c r="H2297">
        <v>260</v>
      </c>
      <c r="I2297" s="183" t="s">
        <v>1430</v>
      </c>
      <c r="J2297" s="183" t="s">
        <v>12055</v>
      </c>
      <c r="K2297">
        <v>0</v>
      </c>
      <c r="L2297">
        <v>260</v>
      </c>
    </row>
    <row r="2298" spans="1:12">
      <c r="A2298" s="183" t="s">
        <v>225</v>
      </c>
      <c r="B2298" s="183" t="s">
        <v>1885</v>
      </c>
      <c r="C2298">
        <v>61007240</v>
      </c>
      <c r="D2298">
        <v>209</v>
      </c>
      <c r="E2298">
        <v>0</v>
      </c>
      <c r="F2298">
        <v>0</v>
      </c>
      <c r="G2298">
        <v>0</v>
      </c>
      <c r="H2298">
        <v>209</v>
      </c>
      <c r="I2298" s="183" t="s">
        <v>1430</v>
      </c>
      <c r="J2298" s="183" t="s">
        <v>12054</v>
      </c>
      <c r="K2298">
        <v>0</v>
      </c>
      <c r="L2298">
        <v>209</v>
      </c>
    </row>
    <row r="2299" spans="1:12">
      <c r="A2299" s="183" t="s">
        <v>2535</v>
      </c>
      <c r="B2299" s="183" t="s">
        <v>2536</v>
      </c>
      <c r="C2299">
        <v>61008221</v>
      </c>
      <c r="D2299">
        <v>339</v>
      </c>
      <c r="E2299">
        <v>0</v>
      </c>
      <c r="F2299">
        <v>0</v>
      </c>
      <c r="G2299">
        <v>0</v>
      </c>
      <c r="H2299">
        <v>339</v>
      </c>
      <c r="I2299" s="183" t="s">
        <v>1267</v>
      </c>
      <c r="J2299" s="183" t="s">
        <v>12060</v>
      </c>
      <c r="K2299">
        <v>0</v>
      </c>
      <c r="L2299">
        <v>339</v>
      </c>
    </row>
    <row r="2300" spans="1:12">
      <c r="A2300" s="183" t="s">
        <v>4921</v>
      </c>
      <c r="B2300" s="183" t="s">
        <v>4922</v>
      </c>
      <c r="C2300">
        <v>61008223</v>
      </c>
      <c r="D2300">
        <v>523</v>
      </c>
      <c r="E2300">
        <v>0</v>
      </c>
      <c r="F2300">
        <v>0</v>
      </c>
      <c r="G2300">
        <v>0</v>
      </c>
      <c r="H2300">
        <v>523</v>
      </c>
      <c r="I2300" s="183" t="s">
        <v>1267</v>
      </c>
      <c r="J2300" s="183" t="s">
        <v>12057</v>
      </c>
      <c r="K2300">
        <v>0</v>
      </c>
      <c r="L2300">
        <v>523</v>
      </c>
    </row>
    <row r="2301" spans="1:12">
      <c r="A2301" s="183" t="s">
        <v>2348</v>
      </c>
      <c r="B2301" s="183" t="s">
        <v>2349</v>
      </c>
      <c r="C2301">
        <v>61008224</v>
      </c>
      <c r="D2301">
        <v>461</v>
      </c>
      <c r="E2301">
        <v>0</v>
      </c>
      <c r="F2301">
        <v>0</v>
      </c>
      <c r="G2301">
        <v>0</v>
      </c>
      <c r="H2301">
        <v>461</v>
      </c>
      <c r="I2301" s="183" t="s">
        <v>1267</v>
      </c>
      <c r="J2301" s="183" t="s">
        <v>12060</v>
      </c>
      <c r="K2301">
        <v>0</v>
      </c>
      <c r="L2301">
        <v>461</v>
      </c>
    </row>
    <row r="2302" spans="1:12">
      <c r="A2302" s="183" t="s">
        <v>4910</v>
      </c>
      <c r="B2302" s="183" t="s">
        <v>4911</v>
      </c>
      <c r="C2302">
        <v>61008226</v>
      </c>
      <c r="D2302">
        <v>491</v>
      </c>
      <c r="E2302">
        <v>0</v>
      </c>
      <c r="F2302">
        <v>0</v>
      </c>
      <c r="G2302">
        <v>0</v>
      </c>
      <c r="H2302">
        <v>491</v>
      </c>
      <c r="I2302" s="183" t="s">
        <v>1267</v>
      </c>
      <c r="J2302" s="183" t="s">
        <v>12060</v>
      </c>
      <c r="K2302">
        <v>0</v>
      </c>
      <c r="L2302">
        <v>491</v>
      </c>
    </row>
    <row r="2303" spans="1:12">
      <c r="A2303" s="183" t="s">
        <v>2958</v>
      </c>
      <c r="B2303" s="183" t="s">
        <v>2959</v>
      </c>
      <c r="C2303">
        <v>64004202</v>
      </c>
      <c r="D2303">
        <v>217</v>
      </c>
      <c r="E2303">
        <v>0</v>
      </c>
      <c r="F2303">
        <v>0</v>
      </c>
      <c r="G2303">
        <v>0</v>
      </c>
      <c r="H2303">
        <v>217</v>
      </c>
      <c r="I2303" s="183" t="s">
        <v>1051</v>
      </c>
      <c r="J2303" s="183" t="s">
        <v>12066</v>
      </c>
      <c r="K2303">
        <v>0</v>
      </c>
      <c r="L2303">
        <v>217</v>
      </c>
    </row>
    <row r="2304" spans="1:12">
      <c r="A2304" s="183" t="s">
        <v>3867</v>
      </c>
      <c r="B2304" s="183" t="s">
        <v>3868</v>
      </c>
      <c r="C2304">
        <v>64004226</v>
      </c>
      <c r="D2304">
        <v>304</v>
      </c>
      <c r="E2304">
        <v>0</v>
      </c>
      <c r="F2304">
        <v>0</v>
      </c>
      <c r="G2304">
        <v>0</v>
      </c>
      <c r="H2304">
        <v>304</v>
      </c>
      <c r="I2304" s="183" t="s">
        <v>1051</v>
      </c>
      <c r="J2304" s="183" t="s">
        <v>12095</v>
      </c>
      <c r="K2304">
        <v>0</v>
      </c>
      <c r="L2304">
        <v>304</v>
      </c>
    </row>
    <row r="2305" spans="1:12">
      <c r="A2305" s="183" t="s">
        <v>852</v>
      </c>
      <c r="B2305" s="183" t="s">
        <v>1063</v>
      </c>
      <c r="C2305">
        <v>64004234</v>
      </c>
      <c r="D2305">
        <v>183</v>
      </c>
      <c r="E2305">
        <v>0</v>
      </c>
      <c r="F2305">
        <v>0</v>
      </c>
      <c r="G2305">
        <v>0</v>
      </c>
      <c r="H2305">
        <v>183</v>
      </c>
      <c r="I2305" s="183" t="s">
        <v>1051</v>
      </c>
      <c r="J2305" s="183" t="s">
        <v>12094</v>
      </c>
      <c r="K2305">
        <v>0</v>
      </c>
      <c r="L2305">
        <v>183</v>
      </c>
    </row>
    <row r="2306" spans="1:12">
      <c r="A2306" s="183" t="s">
        <v>6201</v>
      </c>
      <c r="B2306" s="183" t="s">
        <v>6202</v>
      </c>
      <c r="C2306">
        <v>64001202</v>
      </c>
      <c r="D2306">
        <v>438</v>
      </c>
      <c r="E2306">
        <v>0</v>
      </c>
      <c r="F2306">
        <v>0</v>
      </c>
      <c r="G2306">
        <v>0</v>
      </c>
      <c r="H2306">
        <v>438</v>
      </c>
      <c r="I2306" s="183" t="s">
        <v>1062</v>
      </c>
      <c r="J2306" s="183" t="s">
        <v>12063</v>
      </c>
      <c r="K2306">
        <v>0</v>
      </c>
      <c r="L2306">
        <v>438</v>
      </c>
    </row>
    <row r="2307" spans="1:12">
      <c r="A2307" s="183" t="s">
        <v>12023</v>
      </c>
      <c r="B2307" s="183" t="s">
        <v>12024</v>
      </c>
      <c r="C2307">
        <v>64001208</v>
      </c>
      <c r="D2307">
        <v>149</v>
      </c>
      <c r="E2307">
        <v>0</v>
      </c>
      <c r="F2307">
        <v>0</v>
      </c>
      <c r="G2307">
        <v>0</v>
      </c>
      <c r="H2307">
        <v>149</v>
      </c>
      <c r="I2307" s="183" t="s">
        <v>1062</v>
      </c>
      <c r="J2307" s="183" t="s">
        <v>12093</v>
      </c>
      <c r="K2307">
        <v>0</v>
      </c>
      <c r="L2307">
        <v>149</v>
      </c>
    </row>
    <row r="2308" spans="1:12">
      <c r="A2308" s="183" t="s">
        <v>5519</v>
      </c>
      <c r="B2308" s="183" t="s">
        <v>5520</v>
      </c>
      <c r="C2308">
        <v>64001214</v>
      </c>
      <c r="D2308">
        <v>204</v>
      </c>
      <c r="E2308">
        <v>0</v>
      </c>
      <c r="F2308">
        <v>1</v>
      </c>
      <c r="G2308">
        <v>0</v>
      </c>
      <c r="H2308">
        <v>205</v>
      </c>
      <c r="I2308" s="183" t="s">
        <v>1062</v>
      </c>
      <c r="J2308" s="183" t="s">
        <v>12066</v>
      </c>
      <c r="K2308">
        <v>0</v>
      </c>
      <c r="L2308">
        <v>204</v>
      </c>
    </row>
    <row r="2309" spans="1:12">
      <c r="A2309" s="183" t="s">
        <v>755</v>
      </c>
      <c r="B2309" s="183" t="s">
        <v>1164</v>
      </c>
      <c r="C2309">
        <v>64001218</v>
      </c>
      <c r="D2309">
        <v>158</v>
      </c>
      <c r="E2309">
        <v>0</v>
      </c>
      <c r="F2309">
        <v>1</v>
      </c>
      <c r="G2309">
        <v>0</v>
      </c>
      <c r="H2309">
        <v>159</v>
      </c>
      <c r="I2309" s="183" t="s">
        <v>1062</v>
      </c>
      <c r="J2309" s="183" t="s">
        <v>12094</v>
      </c>
      <c r="K2309">
        <v>0</v>
      </c>
      <c r="L2309">
        <v>158</v>
      </c>
    </row>
    <row r="2310" spans="1:12">
      <c r="A2310" s="183" t="s">
        <v>5237</v>
      </c>
      <c r="B2310" s="183" t="s">
        <v>5238</v>
      </c>
      <c r="C2310">
        <v>64001236</v>
      </c>
      <c r="D2310">
        <v>276</v>
      </c>
      <c r="E2310">
        <v>0</v>
      </c>
      <c r="F2310">
        <v>1</v>
      </c>
      <c r="G2310">
        <v>0</v>
      </c>
      <c r="H2310">
        <v>277</v>
      </c>
      <c r="I2310" s="183" t="s">
        <v>1062</v>
      </c>
      <c r="J2310" s="183" t="s">
        <v>12093</v>
      </c>
      <c r="K2310">
        <v>0</v>
      </c>
      <c r="L2310">
        <v>276</v>
      </c>
    </row>
    <row r="2311" spans="1:12">
      <c r="A2311" s="183" t="s">
        <v>230</v>
      </c>
      <c r="B2311" s="183" t="s">
        <v>1169</v>
      </c>
      <c r="C2311">
        <v>64001238</v>
      </c>
      <c r="D2311">
        <v>277</v>
      </c>
      <c r="E2311">
        <v>0</v>
      </c>
      <c r="F2311">
        <v>0</v>
      </c>
      <c r="G2311">
        <v>0</v>
      </c>
      <c r="H2311">
        <v>277</v>
      </c>
      <c r="I2311" s="183" t="s">
        <v>1062</v>
      </c>
      <c r="J2311" s="183" t="s">
        <v>12087</v>
      </c>
      <c r="K2311">
        <v>0</v>
      </c>
      <c r="L2311">
        <v>277</v>
      </c>
    </row>
    <row r="2312" spans="1:12">
      <c r="A2312" s="183" t="s">
        <v>231</v>
      </c>
      <c r="B2312" s="183" t="s">
        <v>1375</v>
      </c>
      <c r="C2312">
        <v>64003205</v>
      </c>
      <c r="D2312">
        <v>553</v>
      </c>
      <c r="E2312">
        <v>0</v>
      </c>
      <c r="F2312">
        <v>0</v>
      </c>
      <c r="G2312">
        <v>0</v>
      </c>
      <c r="H2312">
        <v>553</v>
      </c>
      <c r="I2312" s="183" t="s">
        <v>1012</v>
      </c>
      <c r="J2312" s="183" t="s">
        <v>12059</v>
      </c>
      <c r="K2312">
        <v>0</v>
      </c>
      <c r="L2312">
        <v>553</v>
      </c>
    </row>
    <row r="2313" spans="1:12">
      <c r="A2313" s="183" t="s">
        <v>6139</v>
      </c>
      <c r="B2313" s="183" t="s">
        <v>6140</v>
      </c>
      <c r="C2313">
        <v>64003207</v>
      </c>
      <c r="D2313">
        <v>538</v>
      </c>
      <c r="E2313">
        <v>0</v>
      </c>
      <c r="F2313">
        <v>0</v>
      </c>
      <c r="G2313">
        <v>0</v>
      </c>
      <c r="H2313">
        <v>538</v>
      </c>
      <c r="I2313" s="183" t="s">
        <v>1012</v>
      </c>
      <c r="J2313" s="183" t="s">
        <v>12095</v>
      </c>
      <c r="K2313">
        <v>0</v>
      </c>
      <c r="L2313">
        <v>538</v>
      </c>
    </row>
    <row r="2314" spans="1:12">
      <c r="A2314" s="183" t="s">
        <v>6141</v>
      </c>
      <c r="B2314" s="183" t="s">
        <v>6142</v>
      </c>
      <c r="C2314">
        <v>64003210</v>
      </c>
      <c r="D2314">
        <v>609</v>
      </c>
      <c r="E2314">
        <v>0</v>
      </c>
      <c r="F2314">
        <v>0</v>
      </c>
      <c r="G2314">
        <v>0</v>
      </c>
      <c r="H2314">
        <v>609</v>
      </c>
      <c r="I2314" s="183" t="s">
        <v>1012</v>
      </c>
      <c r="J2314" s="183" t="s">
        <v>12054</v>
      </c>
      <c r="K2314">
        <v>0</v>
      </c>
      <c r="L2314">
        <v>609</v>
      </c>
    </row>
    <row r="2315" spans="1:12">
      <c r="A2315" s="183" t="s">
        <v>6203</v>
      </c>
      <c r="B2315" s="183" t="s">
        <v>6204</v>
      </c>
      <c r="C2315">
        <v>64003220</v>
      </c>
      <c r="D2315">
        <v>583</v>
      </c>
      <c r="E2315">
        <v>0</v>
      </c>
      <c r="F2315">
        <v>0</v>
      </c>
      <c r="G2315">
        <v>0</v>
      </c>
      <c r="H2315">
        <v>583</v>
      </c>
      <c r="I2315" s="183" t="s">
        <v>1012</v>
      </c>
      <c r="J2315" s="183" t="s">
        <v>12048</v>
      </c>
      <c r="K2315">
        <v>0</v>
      </c>
      <c r="L2315">
        <v>583</v>
      </c>
    </row>
    <row r="2316" spans="1:12">
      <c r="A2316" s="183" t="s">
        <v>6336</v>
      </c>
      <c r="B2316" s="183" t="s">
        <v>1064</v>
      </c>
      <c r="C2316">
        <v>350125180</v>
      </c>
      <c r="D2316">
        <v>356</v>
      </c>
      <c r="E2316">
        <v>0</v>
      </c>
      <c r="F2316">
        <v>0</v>
      </c>
      <c r="G2316">
        <v>0</v>
      </c>
      <c r="H2316">
        <v>356</v>
      </c>
      <c r="I2316" s="183" t="s">
        <v>1065</v>
      </c>
      <c r="J2316" s="183" t="s">
        <v>12094</v>
      </c>
      <c r="K2316">
        <v>0</v>
      </c>
      <c r="L2316">
        <v>356</v>
      </c>
    </row>
    <row r="2317" spans="1:12">
      <c r="A2317" s="183" t="s">
        <v>4624</v>
      </c>
      <c r="B2317" s="183" t="s">
        <v>1064</v>
      </c>
      <c r="C2317">
        <v>475175180</v>
      </c>
      <c r="D2317">
        <v>504</v>
      </c>
      <c r="E2317">
        <v>0</v>
      </c>
      <c r="F2317">
        <v>0</v>
      </c>
      <c r="G2317">
        <v>0</v>
      </c>
      <c r="H2317">
        <v>504</v>
      </c>
      <c r="I2317" s="183" t="s">
        <v>1065</v>
      </c>
      <c r="J2317" s="183" t="s">
        <v>12091</v>
      </c>
      <c r="K2317">
        <v>0</v>
      </c>
      <c r="L2317">
        <v>504</v>
      </c>
    </row>
    <row r="2318" spans="1:12">
      <c r="A2318" s="183" t="s">
        <v>4865</v>
      </c>
      <c r="B2318" s="183" t="s">
        <v>1064</v>
      </c>
      <c r="C2318">
        <v>575075180</v>
      </c>
      <c r="D2318">
        <v>217</v>
      </c>
      <c r="E2318">
        <v>0</v>
      </c>
      <c r="F2318">
        <v>1</v>
      </c>
      <c r="G2318">
        <v>0</v>
      </c>
      <c r="H2318">
        <v>218</v>
      </c>
      <c r="I2318" s="183" t="s">
        <v>1065</v>
      </c>
      <c r="J2318" s="183" t="s">
        <v>12093</v>
      </c>
      <c r="K2318">
        <v>0</v>
      </c>
      <c r="L2318">
        <v>217</v>
      </c>
    </row>
    <row r="2319" spans="1:12">
      <c r="A2319" s="183" t="s">
        <v>301</v>
      </c>
      <c r="B2319" s="183" t="s">
        <v>1064</v>
      </c>
      <c r="C2319">
        <v>575175180</v>
      </c>
      <c r="D2319">
        <v>276</v>
      </c>
      <c r="E2319">
        <v>0</v>
      </c>
      <c r="F2319">
        <v>0</v>
      </c>
      <c r="G2319">
        <v>0</v>
      </c>
      <c r="H2319">
        <v>276</v>
      </c>
      <c r="I2319" s="183" t="s">
        <v>1065</v>
      </c>
      <c r="J2319" s="183" t="s">
        <v>12060</v>
      </c>
      <c r="K2319">
        <v>0</v>
      </c>
      <c r="L2319">
        <v>276</v>
      </c>
    </row>
    <row r="2320" spans="1:12">
      <c r="A2320" s="183" t="s">
        <v>5172</v>
      </c>
      <c r="B2320" s="183" t="s">
        <v>1064</v>
      </c>
      <c r="C2320">
        <v>600125180</v>
      </c>
      <c r="D2320">
        <v>463</v>
      </c>
      <c r="E2320">
        <v>0</v>
      </c>
      <c r="F2320">
        <v>0</v>
      </c>
      <c r="G2320">
        <v>0</v>
      </c>
      <c r="H2320">
        <v>463</v>
      </c>
      <c r="I2320" s="183" t="s">
        <v>1065</v>
      </c>
      <c r="J2320" s="183" t="s">
        <v>12061</v>
      </c>
      <c r="K2320">
        <v>0</v>
      </c>
      <c r="L2320">
        <v>463</v>
      </c>
    </row>
    <row r="2321" spans="1:12">
      <c r="A2321" s="183" t="s">
        <v>7794</v>
      </c>
      <c r="B2321" s="183" t="s">
        <v>1064</v>
      </c>
      <c r="C2321">
        <v>600175180</v>
      </c>
      <c r="D2321">
        <v>233</v>
      </c>
      <c r="E2321">
        <v>0</v>
      </c>
      <c r="F2321">
        <v>0</v>
      </c>
      <c r="G2321">
        <v>0</v>
      </c>
      <c r="H2321">
        <v>233</v>
      </c>
      <c r="I2321" s="183" t="s">
        <v>1065</v>
      </c>
      <c r="J2321" s="183" t="s">
        <v>12081</v>
      </c>
      <c r="K2321">
        <v>0</v>
      </c>
      <c r="L2321">
        <v>233</v>
      </c>
    </row>
    <row r="2322" spans="1:12">
      <c r="A2322" s="183" t="s">
        <v>3171</v>
      </c>
      <c r="B2322" s="183" t="s">
        <v>1032</v>
      </c>
      <c r="C2322">
        <v>73860204</v>
      </c>
      <c r="D2322">
        <v>245</v>
      </c>
      <c r="E2322">
        <v>0</v>
      </c>
      <c r="F2322">
        <v>0</v>
      </c>
      <c r="G2322">
        <v>0</v>
      </c>
      <c r="H2322">
        <v>245</v>
      </c>
      <c r="I2322" s="183" t="s">
        <v>1033</v>
      </c>
      <c r="J2322" s="183" t="s">
        <v>12093</v>
      </c>
      <c r="K2322">
        <v>0</v>
      </c>
      <c r="L2322">
        <v>245</v>
      </c>
    </row>
    <row r="2323" spans="1:12">
      <c r="A2323" s="183" t="s">
        <v>2790</v>
      </c>
      <c r="B2323" s="183" t="s">
        <v>1032</v>
      </c>
      <c r="C2323">
        <v>73860236</v>
      </c>
      <c r="D2323">
        <v>306</v>
      </c>
      <c r="E2323">
        <v>0</v>
      </c>
      <c r="F2323">
        <v>0</v>
      </c>
      <c r="G2323">
        <v>0</v>
      </c>
      <c r="H2323">
        <v>306</v>
      </c>
      <c r="I2323" s="183" t="s">
        <v>1033</v>
      </c>
      <c r="J2323" s="183" t="s">
        <v>12092</v>
      </c>
      <c r="K2323">
        <v>0</v>
      </c>
      <c r="L2323">
        <v>306</v>
      </c>
    </row>
    <row r="2324" spans="1:12">
      <c r="A2324" s="183" t="s">
        <v>312</v>
      </c>
      <c r="B2324" s="183" t="s">
        <v>1060</v>
      </c>
      <c r="C2324">
        <v>100125180154</v>
      </c>
      <c r="D2324">
        <v>535</v>
      </c>
      <c r="E2324">
        <v>0</v>
      </c>
      <c r="F2324">
        <v>0</v>
      </c>
      <c r="G2324">
        <v>0</v>
      </c>
      <c r="H2324">
        <v>535</v>
      </c>
      <c r="I2324" s="183" t="s">
        <v>1061</v>
      </c>
      <c r="J2324" s="183" t="s">
        <v>12059</v>
      </c>
      <c r="K2324">
        <v>0</v>
      </c>
      <c r="L2324">
        <v>535</v>
      </c>
    </row>
    <row r="2325" spans="1:12">
      <c r="A2325" s="183" t="s">
        <v>319</v>
      </c>
      <c r="B2325" s="183" t="s">
        <v>1060</v>
      </c>
      <c r="C2325">
        <v>150175180154</v>
      </c>
      <c r="D2325">
        <v>64</v>
      </c>
      <c r="E2325">
        <v>0</v>
      </c>
      <c r="F2325">
        <v>0</v>
      </c>
      <c r="G2325">
        <v>0</v>
      </c>
      <c r="H2325">
        <v>64</v>
      </c>
      <c r="I2325" s="183" t="s">
        <v>1061</v>
      </c>
      <c r="J2325" s="183" t="s">
        <v>12091</v>
      </c>
      <c r="K2325">
        <v>0</v>
      </c>
      <c r="L2325">
        <v>64</v>
      </c>
    </row>
    <row r="2326" spans="1:12">
      <c r="A2326" s="183" t="s">
        <v>6327</v>
      </c>
      <c r="B2326" s="183" t="s">
        <v>1060</v>
      </c>
      <c r="C2326">
        <v>250175180154</v>
      </c>
      <c r="D2326">
        <v>20</v>
      </c>
      <c r="E2326">
        <v>0</v>
      </c>
      <c r="F2326">
        <v>0</v>
      </c>
      <c r="G2326">
        <v>0</v>
      </c>
      <c r="H2326">
        <v>20</v>
      </c>
      <c r="I2326" s="183" t="s">
        <v>1061</v>
      </c>
      <c r="J2326" s="183" t="s">
        <v>12092</v>
      </c>
      <c r="K2326">
        <v>0</v>
      </c>
      <c r="L2326">
        <v>20</v>
      </c>
    </row>
    <row r="2327" spans="1:12">
      <c r="A2327" s="183" t="s">
        <v>330</v>
      </c>
      <c r="B2327" s="183" t="s">
        <v>1060</v>
      </c>
      <c r="C2327">
        <v>275075180154</v>
      </c>
      <c r="D2327">
        <v>444</v>
      </c>
      <c r="E2327">
        <v>0</v>
      </c>
      <c r="F2327">
        <v>0</v>
      </c>
      <c r="G2327">
        <v>0</v>
      </c>
      <c r="H2327">
        <v>444</v>
      </c>
      <c r="I2327" s="183" t="s">
        <v>1061</v>
      </c>
      <c r="J2327" s="183" t="s">
        <v>12067</v>
      </c>
      <c r="K2327">
        <v>0</v>
      </c>
      <c r="L2327">
        <v>444</v>
      </c>
    </row>
    <row r="2328" spans="1:12">
      <c r="A2328" s="183" t="s">
        <v>3865</v>
      </c>
      <c r="B2328" s="183" t="s">
        <v>1060</v>
      </c>
      <c r="C2328">
        <v>375125180154</v>
      </c>
      <c r="D2328">
        <v>84</v>
      </c>
      <c r="E2328">
        <v>0</v>
      </c>
      <c r="F2328">
        <v>0</v>
      </c>
      <c r="G2328">
        <v>0</v>
      </c>
      <c r="H2328">
        <v>84</v>
      </c>
      <c r="I2328" s="183" t="s">
        <v>1061</v>
      </c>
      <c r="J2328" s="183" t="s">
        <v>12094</v>
      </c>
      <c r="K2328">
        <v>0</v>
      </c>
      <c r="L2328">
        <v>84</v>
      </c>
    </row>
    <row r="2329" spans="1:12">
      <c r="A2329" s="183" t="s">
        <v>6115</v>
      </c>
      <c r="B2329" s="183" t="s">
        <v>1060</v>
      </c>
      <c r="C2329">
        <v>375175180154</v>
      </c>
      <c r="D2329">
        <v>95</v>
      </c>
      <c r="E2329">
        <v>0</v>
      </c>
      <c r="F2329">
        <v>0</v>
      </c>
      <c r="G2329">
        <v>0</v>
      </c>
      <c r="H2329">
        <v>95</v>
      </c>
      <c r="I2329" s="183" t="s">
        <v>1061</v>
      </c>
      <c r="J2329" s="183" t="s">
        <v>12053</v>
      </c>
      <c r="K2329">
        <v>0</v>
      </c>
      <c r="L2329">
        <v>95</v>
      </c>
    </row>
    <row r="2330" spans="1:12">
      <c r="A2330" s="183" t="s">
        <v>336</v>
      </c>
      <c r="B2330" s="183" t="s">
        <v>1060</v>
      </c>
      <c r="C2330">
        <v>425075180154</v>
      </c>
      <c r="D2330">
        <v>337</v>
      </c>
      <c r="E2330">
        <v>0</v>
      </c>
      <c r="F2330">
        <v>0</v>
      </c>
      <c r="G2330">
        <v>0</v>
      </c>
      <c r="H2330">
        <v>337</v>
      </c>
      <c r="I2330" s="183" t="s">
        <v>1061</v>
      </c>
      <c r="J2330" s="183" t="s">
        <v>12067</v>
      </c>
      <c r="K2330">
        <v>0</v>
      </c>
      <c r="L2330">
        <v>337</v>
      </c>
    </row>
    <row r="2331" spans="1:12">
      <c r="A2331" s="183" t="s">
        <v>337</v>
      </c>
      <c r="B2331" s="183" t="s">
        <v>1060</v>
      </c>
      <c r="C2331">
        <v>450075180154</v>
      </c>
      <c r="D2331">
        <v>156</v>
      </c>
      <c r="E2331">
        <v>0</v>
      </c>
      <c r="F2331">
        <v>0</v>
      </c>
      <c r="G2331">
        <v>0</v>
      </c>
      <c r="H2331">
        <v>156</v>
      </c>
      <c r="I2331" s="183" t="s">
        <v>1061</v>
      </c>
      <c r="J2331" s="183" t="s">
        <v>12053</v>
      </c>
      <c r="K2331">
        <v>0</v>
      </c>
      <c r="L2331">
        <v>156</v>
      </c>
    </row>
    <row r="2332" spans="1:12">
      <c r="A2332" s="183" t="s">
        <v>345</v>
      </c>
      <c r="B2332" s="183" t="s">
        <v>1060</v>
      </c>
      <c r="C2332">
        <v>575125180154</v>
      </c>
      <c r="D2332">
        <v>83</v>
      </c>
      <c r="E2332">
        <v>0</v>
      </c>
      <c r="F2332">
        <v>0</v>
      </c>
      <c r="G2332">
        <v>0</v>
      </c>
      <c r="H2332">
        <v>83</v>
      </c>
      <c r="I2332" s="183" t="s">
        <v>1061</v>
      </c>
      <c r="J2332" s="183" t="s">
        <v>12059</v>
      </c>
      <c r="K2332">
        <v>0</v>
      </c>
      <c r="L2332">
        <v>83</v>
      </c>
    </row>
    <row r="2333" spans="1:12">
      <c r="A2333" s="183" t="s">
        <v>353</v>
      </c>
      <c r="B2333" s="183" t="s">
        <v>1060</v>
      </c>
      <c r="C2333">
        <v>800125180154</v>
      </c>
      <c r="D2333">
        <v>370</v>
      </c>
      <c r="E2333">
        <v>0</v>
      </c>
      <c r="F2333">
        <v>0</v>
      </c>
      <c r="G2333">
        <v>0</v>
      </c>
      <c r="H2333">
        <v>370</v>
      </c>
      <c r="I2333" s="183" t="s">
        <v>1061</v>
      </c>
      <c r="J2333" s="183" t="s">
        <v>12060</v>
      </c>
      <c r="K2333">
        <v>0</v>
      </c>
      <c r="L2333">
        <v>370</v>
      </c>
    </row>
    <row r="2334" spans="1:12">
      <c r="A2334" s="183" t="s">
        <v>356</v>
      </c>
      <c r="B2334" s="183" t="s">
        <v>1060</v>
      </c>
      <c r="C2334">
        <v>850175180154</v>
      </c>
      <c r="D2334">
        <v>35</v>
      </c>
      <c r="E2334">
        <v>0</v>
      </c>
      <c r="F2334">
        <v>0</v>
      </c>
      <c r="G2334">
        <v>0</v>
      </c>
      <c r="H2334">
        <v>35</v>
      </c>
      <c r="I2334" s="183" t="s">
        <v>1061</v>
      </c>
      <c r="J2334" s="183" t="s">
        <v>12085</v>
      </c>
      <c r="K2334">
        <v>0</v>
      </c>
      <c r="L2334">
        <v>35</v>
      </c>
    </row>
    <row r="2335" spans="1:12">
      <c r="A2335" s="183" t="s">
        <v>5203</v>
      </c>
      <c r="B2335" s="183" t="s">
        <v>5204</v>
      </c>
      <c r="C2335">
        <v>90178216</v>
      </c>
      <c r="D2335">
        <v>588</v>
      </c>
      <c r="E2335">
        <v>0</v>
      </c>
      <c r="F2335">
        <v>0</v>
      </c>
      <c r="G2335">
        <v>0</v>
      </c>
      <c r="H2335">
        <v>588</v>
      </c>
      <c r="I2335" s="183" t="s">
        <v>990</v>
      </c>
      <c r="J2335" s="183" t="s">
        <v>12057</v>
      </c>
      <c r="K2335">
        <v>0</v>
      </c>
      <c r="L2335">
        <v>588</v>
      </c>
    </row>
    <row r="2336" spans="1:12">
      <c r="A2336" s="183" t="s">
        <v>3832</v>
      </c>
      <c r="B2336" s="183" t="s">
        <v>3833</v>
      </c>
      <c r="C2336">
        <v>90178224</v>
      </c>
      <c r="D2336">
        <v>305</v>
      </c>
      <c r="E2336">
        <v>0</v>
      </c>
      <c r="F2336">
        <v>0</v>
      </c>
      <c r="G2336">
        <v>0</v>
      </c>
      <c r="H2336">
        <v>305</v>
      </c>
      <c r="I2336" s="183" t="s">
        <v>990</v>
      </c>
      <c r="J2336" s="183" t="s">
        <v>12094</v>
      </c>
      <c r="K2336">
        <v>0</v>
      </c>
      <c r="L2336">
        <v>305</v>
      </c>
    </row>
    <row r="2337" spans="1:12">
      <c r="A2337" s="183" t="s">
        <v>6223</v>
      </c>
      <c r="B2337" s="183" t="s">
        <v>6224</v>
      </c>
      <c r="C2337">
        <v>90189217</v>
      </c>
      <c r="D2337" s="501">
        <v>1246</v>
      </c>
      <c r="E2337">
        <v>0</v>
      </c>
      <c r="F2337">
        <v>0</v>
      </c>
      <c r="G2337">
        <v>0</v>
      </c>
      <c r="H2337" s="501">
        <v>1246</v>
      </c>
      <c r="I2337" s="183" t="s">
        <v>1025</v>
      </c>
      <c r="J2337" s="183" t="s">
        <v>12050</v>
      </c>
      <c r="K2337">
        <v>0</v>
      </c>
      <c r="L2337" s="501">
        <v>1246</v>
      </c>
    </row>
    <row r="2338" spans="1:12">
      <c r="A2338" s="183" t="s">
        <v>700</v>
      </c>
      <c r="B2338" s="183" t="s">
        <v>2735</v>
      </c>
      <c r="C2338">
        <v>90189232</v>
      </c>
      <c r="D2338">
        <v>698</v>
      </c>
      <c r="E2338">
        <v>0</v>
      </c>
      <c r="F2338">
        <v>3</v>
      </c>
      <c r="G2338">
        <v>0</v>
      </c>
      <c r="H2338">
        <v>701</v>
      </c>
      <c r="I2338" s="183" t="s">
        <v>1025</v>
      </c>
      <c r="J2338" s="183" t="s">
        <v>12067</v>
      </c>
      <c r="K2338">
        <v>0</v>
      </c>
      <c r="L2338">
        <v>698</v>
      </c>
    </row>
    <row r="2339" spans="1:12">
      <c r="A2339" s="183" t="s">
        <v>5136</v>
      </c>
      <c r="B2339" s="183" t="s">
        <v>5137</v>
      </c>
      <c r="C2339">
        <v>90179219</v>
      </c>
      <c r="D2339">
        <v>561</v>
      </c>
      <c r="E2339">
        <v>0</v>
      </c>
      <c r="F2339">
        <v>0</v>
      </c>
      <c r="G2339">
        <v>0</v>
      </c>
      <c r="H2339">
        <v>561</v>
      </c>
      <c r="I2339" s="183" t="s">
        <v>1067</v>
      </c>
      <c r="J2339" s="183" t="s">
        <v>12050</v>
      </c>
      <c r="K2339">
        <v>0</v>
      </c>
      <c r="L2339">
        <v>561</v>
      </c>
    </row>
    <row r="2340" spans="1:12">
      <c r="A2340" s="183" t="s">
        <v>831</v>
      </c>
      <c r="B2340" s="183" t="s">
        <v>1054</v>
      </c>
      <c r="C2340">
        <v>125075180159</v>
      </c>
      <c r="D2340">
        <v>103</v>
      </c>
      <c r="E2340">
        <v>0</v>
      </c>
      <c r="F2340">
        <v>0</v>
      </c>
      <c r="G2340">
        <v>0</v>
      </c>
      <c r="H2340">
        <v>103</v>
      </c>
      <c r="I2340" s="183" t="s">
        <v>1055</v>
      </c>
      <c r="J2340" s="183" t="s">
        <v>12093</v>
      </c>
      <c r="K2340">
        <v>0</v>
      </c>
      <c r="L2340">
        <v>103</v>
      </c>
    </row>
    <row r="2341" spans="1:12">
      <c r="A2341" s="183" t="s">
        <v>832</v>
      </c>
      <c r="B2341" s="183" t="s">
        <v>1054</v>
      </c>
      <c r="C2341">
        <v>275125180159</v>
      </c>
      <c r="D2341">
        <v>223</v>
      </c>
      <c r="E2341">
        <v>0</v>
      </c>
      <c r="F2341">
        <v>0</v>
      </c>
      <c r="G2341">
        <v>0</v>
      </c>
      <c r="H2341">
        <v>223</v>
      </c>
      <c r="I2341" s="183" t="s">
        <v>1055</v>
      </c>
      <c r="J2341" s="183" t="s">
        <v>12094</v>
      </c>
      <c r="K2341">
        <v>0</v>
      </c>
      <c r="L2341">
        <v>223</v>
      </c>
    </row>
    <row r="2342" spans="1:12">
      <c r="A2342" s="183" t="s">
        <v>6355</v>
      </c>
      <c r="B2342" s="183" t="s">
        <v>1054</v>
      </c>
      <c r="C2342">
        <v>275175180159</v>
      </c>
      <c r="D2342">
        <v>93</v>
      </c>
      <c r="E2342">
        <v>0</v>
      </c>
      <c r="F2342">
        <v>0</v>
      </c>
      <c r="G2342">
        <v>0</v>
      </c>
      <c r="H2342">
        <v>93</v>
      </c>
      <c r="I2342" s="183" t="s">
        <v>1055</v>
      </c>
      <c r="J2342" s="183" t="s">
        <v>12087</v>
      </c>
      <c r="K2342">
        <v>0</v>
      </c>
      <c r="L2342">
        <v>93</v>
      </c>
    </row>
    <row r="2343" spans="1:12">
      <c r="A2343" s="183" t="s">
        <v>3211</v>
      </c>
      <c r="B2343" s="183" t="s">
        <v>1054</v>
      </c>
      <c r="C2343">
        <v>300125180159</v>
      </c>
      <c r="D2343">
        <v>160</v>
      </c>
      <c r="E2343">
        <v>0</v>
      </c>
      <c r="F2343">
        <v>0</v>
      </c>
      <c r="G2343">
        <v>0</v>
      </c>
      <c r="H2343">
        <v>160</v>
      </c>
      <c r="I2343" s="183" t="s">
        <v>1055</v>
      </c>
      <c r="J2343" s="183" t="s">
        <v>12081</v>
      </c>
      <c r="K2343">
        <v>0</v>
      </c>
      <c r="L2343">
        <v>160</v>
      </c>
    </row>
    <row r="2344" spans="1:12">
      <c r="A2344" s="183" t="s">
        <v>7550</v>
      </c>
      <c r="B2344" s="183" t="s">
        <v>1054</v>
      </c>
      <c r="C2344">
        <v>350175180159</v>
      </c>
      <c r="D2344">
        <v>92</v>
      </c>
      <c r="E2344">
        <v>0</v>
      </c>
      <c r="F2344">
        <v>0</v>
      </c>
      <c r="G2344">
        <v>0</v>
      </c>
      <c r="H2344">
        <v>92</v>
      </c>
      <c r="I2344" s="183" t="s">
        <v>1055</v>
      </c>
      <c r="J2344" s="183" t="s">
        <v>12092</v>
      </c>
      <c r="K2344">
        <v>0</v>
      </c>
      <c r="L2344">
        <v>92</v>
      </c>
    </row>
    <row r="2345" spans="1:12">
      <c r="A2345" s="183" t="s">
        <v>3212</v>
      </c>
      <c r="B2345" s="183" t="s">
        <v>1054</v>
      </c>
      <c r="C2345">
        <v>400125180159</v>
      </c>
      <c r="D2345">
        <v>222</v>
      </c>
      <c r="E2345">
        <v>0</v>
      </c>
      <c r="F2345">
        <v>0</v>
      </c>
      <c r="G2345">
        <v>0</v>
      </c>
      <c r="H2345">
        <v>222</v>
      </c>
      <c r="I2345" s="183" t="s">
        <v>1055</v>
      </c>
      <c r="J2345" s="183" t="s">
        <v>12087</v>
      </c>
      <c r="K2345">
        <v>0</v>
      </c>
      <c r="L2345">
        <v>222</v>
      </c>
    </row>
    <row r="2346" spans="1:12">
      <c r="A2346" s="183" t="s">
        <v>833</v>
      </c>
      <c r="B2346" s="183" t="s">
        <v>1054</v>
      </c>
      <c r="C2346">
        <v>425075180159</v>
      </c>
      <c r="D2346">
        <v>90</v>
      </c>
      <c r="E2346">
        <v>0</v>
      </c>
      <c r="F2346">
        <v>0</v>
      </c>
      <c r="G2346">
        <v>0</v>
      </c>
      <c r="H2346">
        <v>90</v>
      </c>
      <c r="I2346" s="183" t="s">
        <v>1055</v>
      </c>
      <c r="J2346" s="183" t="s">
        <v>12048</v>
      </c>
      <c r="K2346">
        <v>0</v>
      </c>
      <c r="L2346">
        <v>90</v>
      </c>
    </row>
    <row r="2347" spans="1:12">
      <c r="A2347" s="183" t="s">
        <v>6356</v>
      </c>
      <c r="B2347" s="183" t="s">
        <v>1054</v>
      </c>
      <c r="C2347">
        <v>450125180159</v>
      </c>
      <c r="D2347">
        <v>152</v>
      </c>
      <c r="E2347">
        <v>0</v>
      </c>
      <c r="F2347">
        <v>0</v>
      </c>
      <c r="G2347">
        <v>0</v>
      </c>
      <c r="H2347">
        <v>152</v>
      </c>
      <c r="I2347" s="183" t="s">
        <v>1055</v>
      </c>
      <c r="J2347" s="183" t="s">
        <v>12053</v>
      </c>
      <c r="K2347">
        <v>0</v>
      </c>
      <c r="L2347">
        <v>152</v>
      </c>
    </row>
    <row r="2348" spans="1:12">
      <c r="A2348" s="183" t="s">
        <v>834</v>
      </c>
      <c r="B2348" s="183" t="s">
        <v>1054</v>
      </c>
      <c r="C2348">
        <v>500075180159</v>
      </c>
      <c r="D2348">
        <v>158</v>
      </c>
      <c r="E2348">
        <v>0</v>
      </c>
      <c r="F2348">
        <v>0</v>
      </c>
      <c r="G2348">
        <v>0</v>
      </c>
      <c r="H2348">
        <v>158</v>
      </c>
      <c r="I2348" s="183" t="s">
        <v>1055</v>
      </c>
      <c r="J2348" s="183" t="s">
        <v>12053</v>
      </c>
      <c r="K2348">
        <v>0</v>
      </c>
      <c r="L2348">
        <v>158</v>
      </c>
    </row>
    <row r="2349" spans="1:12">
      <c r="A2349" s="183" t="s">
        <v>835</v>
      </c>
      <c r="B2349" s="183" t="s">
        <v>1054</v>
      </c>
      <c r="C2349">
        <v>500175180159</v>
      </c>
      <c r="D2349">
        <v>150</v>
      </c>
      <c r="E2349">
        <v>0</v>
      </c>
      <c r="F2349">
        <v>0</v>
      </c>
      <c r="G2349">
        <v>0</v>
      </c>
      <c r="H2349">
        <v>150</v>
      </c>
      <c r="I2349" s="183" t="s">
        <v>1055</v>
      </c>
      <c r="J2349" s="183" t="s">
        <v>12087</v>
      </c>
      <c r="K2349">
        <v>0</v>
      </c>
      <c r="L2349">
        <v>150</v>
      </c>
    </row>
    <row r="2350" spans="1:12">
      <c r="A2350" s="183" t="s">
        <v>836</v>
      </c>
      <c r="B2350" s="183" t="s">
        <v>1054</v>
      </c>
      <c r="C2350">
        <v>525175180159</v>
      </c>
      <c r="D2350">
        <v>151</v>
      </c>
      <c r="E2350">
        <v>0</v>
      </c>
      <c r="F2350">
        <v>0</v>
      </c>
      <c r="G2350">
        <v>0</v>
      </c>
      <c r="H2350">
        <v>151</v>
      </c>
      <c r="I2350" s="183" t="s">
        <v>1055</v>
      </c>
      <c r="J2350" s="183" t="s">
        <v>12094</v>
      </c>
      <c r="K2350">
        <v>0</v>
      </c>
      <c r="L2350">
        <v>151</v>
      </c>
    </row>
    <row r="2351" spans="1:12">
      <c r="A2351" s="183" t="s">
        <v>837</v>
      </c>
      <c r="B2351" s="183" t="s">
        <v>1054</v>
      </c>
      <c r="C2351">
        <v>750125180159</v>
      </c>
      <c r="D2351">
        <v>211</v>
      </c>
      <c r="E2351">
        <v>0</v>
      </c>
      <c r="F2351">
        <v>0</v>
      </c>
      <c r="G2351">
        <v>0</v>
      </c>
      <c r="H2351">
        <v>211</v>
      </c>
      <c r="I2351" s="183" t="s">
        <v>1055</v>
      </c>
      <c r="J2351" s="183" t="s">
        <v>12054</v>
      </c>
      <c r="K2351">
        <v>0</v>
      </c>
      <c r="L2351">
        <v>211</v>
      </c>
    </row>
    <row r="2352" spans="1:12">
      <c r="A2352" s="183" t="s">
        <v>838</v>
      </c>
      <c r="B2352" s="183" t="s">
        <v>1054</v>
      </c>
      <c r="C2352">
        <v>800125180159</v>
      </c>
      <c r="D2352">
        <v>144</v>
      </c>
      <c r="E2352">
        <v>0</v>
      </c>
      <c r="F2352">
        <v>0</v>
      </c>
      <c r="G2352">
        <v>0</v>
      </c>
      <c r="H2352">
        <v>144</v>
      </c>
      <c r="I2352" s="183" t="s">
        <v>1055</v>
      </c>
      <c r="J2352" s="183" t="s">
        <v>12067</v>
      </c>
      <c r="K2352">
        <v>0</v>
      </c>
      <c r="L2352">
        <v>144</v>
      </c>
    </row>
    <row r="2353" spans="1:12">
      <c r="A2353" s="183" t="s">
        <v>6191</v>
      </c>
      <c r="B2353" s="183" t="s">
        <v>6192</v>
      </c>
      <c r="C2353">
        <v>64000211</v>
      </c>
      <c r="D2353">
        <v>235</v>
      </c>
      <c r="E2353">
        <v>0</v>
      </c>
      <c r="F2353">
        <v>0</v>
      </c>
      <c r="G2353">
        <v>0</v>
      </c>
      <c r="H2353">
        <v>235</v>
      </c>
      <c r="I2353" s="183" t="s">
        <v>1000</v>
      </c>
      <c r="J2353" s="183" t="s">
        <v>12091</v>
      </c>
      <c r="K2353">
        <v>0</v>
      </c>
      <c r="L2353">
        <v>235</v>
      </c>
    </row>
    <row r="2354" spans="1:12">
      <c r="A2354" s="183" t="s">
        <v>6193</v>
      </c>
      <c r="B2354" s="183" t="s">
        <v>6194</v>
      </c>
      <c r="C2354">
        <v>64000214</v>
      </c>
      <c r="D2354">
        <v>159</v>
      </c>
      <c r="E2354">
        <v>0</v>
      </c>
      <c r="F2354">
        <v>0</v>
      </c>
      <c r="G2354">
        <v>0</v>
      </c>
      <c r="H2354">
        <v>159</v>
      </c>
      <c r="I2354" s="183" t="s">
        <v>1000</v>
      </c>
      <c r="J2354" s="183" t="s">
        <v>12093</v>
      </c>
      <c r="K2354">
        <v>0</v>
      </c>
      <c r="L2354">
        <v>159</v>
      </c>
    </row>
    <row r="2355" spans="1:12">
      <c r="A2355" s="183" t="s">
        <v>2736</v>
      </c>
      <c r="B2355" s="183" t="s">
        <v>2737</v>
      </c>
      <c r="C2355">
        <v>64000218</v>
      </c>
      <c r="D2355">
        <v>180</v>
      </c>
      <c r="E2355">
        <v>0</v>
      </c>
      <c r="F2355">
        <v>0</v>
      </c>
      <c r="G2355">
        <v>0</v>
      </c>
      <c r="H2355">
        <v>180</v>
      </c>
      <c r="I2355" s="183" t="s">
        <v>1000</v>
      </c>
      <c r="J2355" s="183" t="s">
        <v>12081</v>
      </c>
      <c r="K2355">
        <v>0</v>
      </c>
      <c r="L2355">
        <v>180</v>
      </c>
    </row>
    <row r="2356" spans="1:12">
      <c r="A2356" s="183" t="s">
        <v>1197</v>
      </c>
      <c r="B2356" s="183" t="s">
        <v>1198</v>
      </c>
      <c r="C2356">
        <v>64000221</v>
      </c>
      <c r="D2356">
        <v>437</v>
      </c>
      <c r="E2356">
        <v>0</v>
      </c>
      <c r="F2356">
        <v>6</v>
      </c>
      <c r="G2356">
        <v>0</v>
      </c>
      <c r="H2356">
        <v>443</v>
      </c>
      <c r="I2356" s="183" t="s">
        <v>1000</v>
      </c>
      <c r="J2356" s="183" t="s">
        <v>12093</v>
      </c>
      <c r="K2356">
        <v>0</v>
      </c>
      <c r="L2356">
        <v>437</v>
      </c>
    </row>
    <row r="2357" spans="1:12">
      <c r="A2357" s="183" t="s">
        <v>2738</v>
      </c>
      <c r="B2357" s="183" t="s">
        <v>2739</v>
      </c>
      <c r="C2357">
        <v>64000228</v>
      </c>
      <c r="D2357">
        <v>151</v>
      </c>
      <c r="E2357">
        <v>0</v>
      </c>
      <c r="F2357">
        <v>9</v>
      </c>
      <c r="G2357">
        <v>0</v>
      </c>
      <c r="H2357">
        <v>160</v>
      </c>
      <c r="I2357" s="183" t="s">
        <v>1000</v>
      </c>
      <c r="J2357" s="183" t="s">
        <v>12081</v>
      </c>
      <c r="K2357">
        <v>0</v>
      </c>
      <c r="L2357">
        <v>151</v>
      </c>
    </row>
    <row r="2358" spans="1:12">
      <c r="A2358" s="183" t="s">
        <v>1199</v>
      </c>
      <c r="B2358" s="183" t="s">
        <v>1200</v>
      </c>
      <c r="C2358">
        <v>64000230</v>
      </c>
      <c r="D2358">
        <v>239</v>
      </c>
      <c r="E2358">
        <v>0</v>
      </c>
      <c r="F2358">
        <v>0</v>
      </c>
      <c r="G2358">
        <v>0</v>
      </c>
      <c r="H2358">
        <v>239</v>
      </c>
      <c r="I2358" s="183" t="s">
        <v>1000</v>
      </c>
      <c r="J2358" s="183" t="s">
        <v>12087</v>
      </c>
      <c r="K2358">
        <v>0</v>
      </c>
      <c r="L2358">
        <v>239</v>
      </c>
    </row>
    <row r="2359" spans="1:12">
      <c r="A2359" s="183" t="s">
        <v>6122</v>
      </c>
      <c r="B2359" s="183" t="s">
        <v>6123</v>
      </c>
      <c r="C2359">
        <v>63010216</v>
      </c>
      <c r="D2359">
        <v>38</v>
      </c>
      <c r="E2359">
        <v>0</v>
      </c>
      <c r="F2359">
        <v>0</v>
      </c>
      <c r="G2359">
        <v>0</v>
      </c>
      <c r="H2359">
        <v>38</v>
      </c>
      <c r="I2359" s="183" t="s">
        <v>988</v>
      </c>
      <c r="J2359" s="183" t="s">
        <v>12093</v>
      </c>
      <c r="K2359">
        <v>0</v>
      </c>
      <c r="L2359">
        <v>38</v>
      </c>
    </row>
    <row r="2360" spans="1:12">
      <c r="A2360" s="183" t="s">
        <v>5179</v>
      </c>
      <c r="B2360" s="183" t="s">
        <v>5180</v>
      </c>
      <c r="C2360">
        <v>63010217</v>
      </c>
      <c r="D2360">
        <v>542</v>
      </c>
      <c r="E2360">
        <v>0</v>
      </c>
      <c r="F2360">
        <v>0</v>
      </c>
      <c r="G2360">
        <v>0</v>
      </c>
      <c r="H2360">
        <v>542</v>
      </c>
      <c r="I2360" s="183" t="s">
        <v>988</v>
      </c>
      <c r="J2360" s="183" t="s">
        <v>12085</v>
      </c>
      <c r="K2360">
        <v>0</v>
      </c>
      <c r="L2360">
        <v>542</v>
      </c>
    </row>
    <row r="2361" spans="1:12">
      <c r="A2361" s="183" t="s">
        <v>3094</v>
      </c>
      <c r="B2361" s="183" t="s">
        <v>1221</v>
      </c>
      <c r="C2361">
        <v>61006214</v>
      </c>
      <c r="D2361">
        <v>472</v>
      </c>
      <c r="E2361">
        <v>0</v>
      </c>
      <c r="F2361">
        <v>4</v>
      </c>
      <c r="G2361">
        <v>0</v>
      </c>
      <c r="H2361">
        <v>476</v>
      </c>
      <c r="I2361" s="183" t="s">
        <v>1083</v>
      </c>
      <c r="J2361" s="183" t="s">
        <v>12052</v>
      </c>
      <c r="K2361">
        <v>0</v>
      </c>
      <c r="L2361">
        <v>472</v>
      </c>
    </row>
    <row r="2362" spans="1:12">
      <c r="A2362" s="183" t="s">
        <v>177</v>
      </c>
      <c r="B2362" s="183" t="s">
        <v>1795</v>
      </c>
      <c r="C2362">
        <v>61006230</v>
      </c>
      <c r="D2362">
        <v>306</v>
      </c>
      <c r="E2362">
        <v>0</v>
      </c>
      <c r="F2362">
        <v>0</v>
      </c>
      <c r="G2362">
        <v>0</v>
      </c>
      <c r="H2362">
        <v>306</v>
      </c>
      <c r="I2362" s="183" t="s">
        <v>1083</v>
      </c>
      <c r="J2362" s="183" t="s">
        <v>12053</v>
      </c>
      <c r="K2362">
        <v>0</v>
      </c>
      <c r="L2362">
        <v>306</v>
      </c>
    </row>
    <row r="2363" spans="1:12">
      <c r="A2363" s="183" t="s">
        <v>182</v>
      </c>
      <c r="B2363" s="183" t="s">
        <v>1242</v>
      </c>
      <c r="C2363">
        <v>61005200</v>
      </c>
      <c r="D2363">
        <v>370</v>
      </c>
      <c r="E2363">
        <v>0</v>
      </c>
      <c r="F2363">
        <v>0</v>
      </c>
      <c r="G2363">
        <v>0</v>
      </c>
      <c r="H2363">
        <v>370</v>
      </c>
      <c r="I2363" s="183" t="s">
        <v>1243</v>
      </c>
      <c r="J2363" s="183" t="s">
        <v>12094</v>
      </c>
      <c r="K2363">
        <v>0</v>
      </c>
      <c r="L2363">
        <v>370</v>
      </c>
    </row>
    <row r="2364" spans="1:12">
      <c r="A2364" s="183" t="s">
        <v>186</v>
      </c>
      <c r="B2364" s="183" t="s">
        <v>1737</v>
      </c>
      <c r="C2364">
        <v>61005210</v>
      </c>
      <c r="D2364">
        <v>524</v>
      </c>
      <c r="E2364">
        <v>0</v>
      </c>
      <c r="F2364">
        <v>0</v>
      </c>
      <c r="G2364">
        <v>0</v>
      </c>
      <c r="H2364">
        <v>524</v>
      </c>
      <c r="I2364" s="183" t="s">
        <v>1243</v>
      </c>
      <c r="J2364" s="183" t="s">
        <v>12081</v>
      </c>
      <c r="K2364">
        <v>0</v>
      </c>
      <c r="L2364">
        <v>524</v>
      </c>
    </row>
    <row r="2365" spans="1:12">
      <c r="A2365" s="183" t="s">
        <v>193</v>
      </c>
      <c r="B2365" s="183" t="s">
        <v>1634</v>
      </c>
      <c r="C2365">
        <v>61005218</v>
      </c>
      <c r="D2365">
        <v>512</v>
      </c>
      <c r="E2365">
        <v>0</v>
      </c>
      <c r="F2365">
        <v>1</v>
      </c>
      <c r="G2365">
        <v>0</v>
      </c>
      <c r="H2365">
        <v>513</v>
      </c>
      <c r="I2365" s="183" t="s">
        <v>1243</v>
      </c>
      <c r="J2365" s="183" t="s">
        <v>12053</v>
      </c>
      <c r="K2365">
        <v>0</v>
      </c>
      <c r="L2365">
        <v>512</v>
      </c>
    </row>
    <row r="2366" spans="1:12">
      <c r="A2366" s="183" t="s">
        <v>194</v>
      </c>
      <c r="B2366" s="183" t="s">
        <v>1339</v>
      </c>
      <c r="C2366">
        <v>61005220</v>
      </c>
      <c r="D2366">
        <v>303</v>
      </c>
      <c r="E2366">
        <v>0</v>
      </c>
      <c r="F2366">
        <v>0</v>
      </c>
      <c r="G2366">
        <v>0</v>
      </c>
      <c r="H2366">
        <v>303</v>
      </c>
      <c r="I2366" s="183" t="s">
        <v>1243</v>
      </c>
      <c r="J2366" s="183" t="s">
        <v>12048</v>
      </c>
      <c r="K2366">
        <v>0</v>
      </c>
      <c r="L2366">
        <v>303</v>
      </c>
    </row>
    <row r="2367" spans="1:12">
      <c r="A2367" s="183" t="s">
        <v>196</v>
      </c>
      <c r="B2367" s="183" t="s">
        <v>1339</v>
      </c>
      <c r="C2367">
        <v>61005222</v>
      </c>
      <c r="D2367">
        <v>269</v>
      </c>
      <c r="E2367">
        <v>0</v>
      </c>
      <c r="F2367">
        <v>0</v>
      </c>
      <c r="G2367">
        <v>0</v>
      </c>
      <c r="H2367">
        <v>269</v>
      </c>
      <c r="I2367" s="183" t="s">
        <v>1243</v>
      </c>
      <c r="J2367" s="183" t="s">
        <v>12054</v>
      </c>
      <c r="K2367">
        <v>0</v>
      </c>
      <c r="L2367">
        <v>269</v>
      </c>
    </row>
    <row r="2368" spans="1:12">
      <c r="A2368" s="183" t="s">
        <v>204</v>
      </c>
      <c r="B2368" s="183" t="s">
        <v>2658</v>
      </c>
      <c r="C2368">
        <v>61007202</v>
      </c>
      <c r="D2368">
        <v>484</v>
      </c>
      <c r="E2368">
        <v>0</v>
      </c>
      <c r="F2368">
        <v>0</v>
      </c>
      <c r="G2368">
        <v>0</v>
      </c>
      <c r="H2368">
        <v>484</v>
      </c>
      <c r="I2368" s="183" t="s">
        <v>1430</v>
      </c>
      <c r="J2368" s="183" t="s">
        <v>12055</v>
      </c>
      <c r="K2368">
        <v>0</v>
      </c>
      <c r="L2368">
        <v>484</v>
      </c>
    </row>
    <row r="2369" spans="1:12">
      <c r="A2369" s="183" t="s">
        <v>213</v>
      </c>
      <c r="B2369" s="183" t="s">
        <v>1447</v>
      </c>
      <c r="C2369">
        <v>61007216</v>
      </c>
      <c r="D2369">
        <v>276</v>
      </c>
      <c r="E2369">
        <v>0</v>
      </c>
      <c r="F2369">
        <v>0</v>
      </c>
      <c r="G2369">
        <v>0</v>
      </c>
      <c r="H2369">
        <v>276</v>
      </c>
      <c r="I2369" s="183" t="s">
        <v>1430</v>
      </c>
      <c r="J2369" s="183" t="s">
        <v>12057</v>
      </c>
      <c r="K2369">
        <v>0</v>
      </c>
      <c r="L2369">
        <v>276</v>
      </c>
    </row>
    <row r="2370" spans="1:12">
      <c r="A2370" s="183" t="s">
        <v>220</v>
      </c>
      <c r="B2370" s="183" t="s">
        <v>2137</v>
      </c>
      <c r="C2370">
        <v>61007228</v>
      </c>
      <c r="D2370">
        <v>393</v>
      </c>
      <c r="E2370">
        <v>0</v>
      </c>
      <c r="F2370">
        <v>0</v>
      </c>
      <c r="G2370">
        <v>0</v>
      </c>
      <c r="H2370">
        <v>393</v>
      </c>
      <c r="I2370" s="183" t="s">
        <v>1430</v>
      </c>
      <c r="J2370" s="183" t="s">
        <v>12054</v>
      </c>
      <c r="K2370">
        <v>0</v>
      </c>
      <c r="L2370">
        <v>393</v>
      </c>
    </row>
    <row r="2371" spans="1:12">
      <c r="A2371" s="183" t="s">
        <v>223</v>
      </c>
      <c r="B2371" s="183" t="s">
        <v>2293</v>
      </c>
      <c r="C2371">
        <v>61007236</v>
      </c>
      <c r="D2371">
        <v>402</v>
      </c>
      <c r="E2371">
        <v>0</v>
      </c>
      <c r="F2371">
        <v>1</v>
      </c>
      <c r="G2371">
        <v>0</v>
      </c>
      <c r="H2371">
        <v>403</v>
      </c>
      <c r="I2371" s="183" t="s">
        <v>1430</v>
      </c>
      <c r="J2371" s="183" t="s">
        <v>12054</v>
      </c>
      <c r="K2371">
        <v>0</v>
      </c>
      <c r="L2371">
        <v>402</v>
      </c>
    </row>
    <row r="2372" spans="1:12">
      <c r="A2372" s="183" t="s">
        <v>4917</v>
      </c>
      <c r="B2372" s="183" t="s">
        <v>4918</v>
      </c>
      <c r="C2372">
        <v>61008222</v>
      </c>
      <c r="D2372">
        <v>518</v>
      </c>
      <c r="E2372">
        <v>0</v>
      </c>
      <c r="F2372">
        <v>0</v>
      </c>
      <c r="G2372">
        <v>0</v>
      </c>
      <c r="H2372">
        <v>518</v>
      </c>
      <c r="I2372" s="183" t="s">
        <v>1267</v>
      </c>
      <c r="J2372" s="183" t="s">
        <v>12057</v>
      </c>
      <c r="K2372">
        <v>0</v>
      </c>
      <c r="L2372">
        <v>518</v>
      </c>
    </row>
    <row r="2373" spans="1:12">
      <c r="A2373" s="183" t="s">
        <v>1637</v>
      </c>
      <c r="B2373" s="183" t="s">
        <v>1638</v>
      </c>
      <c r="C2373">
        <v>61008234</v>
      </c>
      <c r="D2373">
        <v>472</v>
      </c>
      <c r="E2373">
        <v>0</v>
      </c>
      <c r="F2373">
        <v>0</v>
      </c>
      <c r="G2373">
        <v>0</v>
      </c>
      <c r="H2373">
        <v>472</v>
      </c>
      <c r="I2373" s="183" t="s">
        <v>1267</v>
      </c>
      <c r="J2373" s="183" t="s">
        <v>12052</v>
      </c>
      <c r="K2373">
        <v>0</v>
      </c>
      <c r="L2373">
        <v>472</v>
      </c>
    </row>
    <row r="2374" spans="1:12">
      <c r="A2374" s="183" t="s">
        <v>6270</v>
      </c>
      <c r="B2374" s="183" t="s">
        <v>6271</v>
      </c>
      <c r="C2374">
        <v>64004200</v>
      </c>
      <c r="D2374">
        <v>584</v>
      </c>
      <c r="E2374">
        <v>0</v>
      </c>
      <c r="F2374">
        <v>0</v>
      </c>
      <c r="G2374">
        <v>0</v>
      </c>
      <c r="H2374">
        <v>584</v>
      </c>
      <c r="I2374" s="183" t="s">
        <v>1051</v>
      </c>
      <c r="J2374" s="183" t="s">
        <v>12093</v>
      </c>
      <c r="K2374">
        <v>0</v>
      </c>
      <c r="L2374">
        <v>584</v>
      </c>
    </row>
    <row r="2375" spans="1:12">
      <c r="A2375" s="183" t="s">
        <v>3746</v>
      </c>
      <c r="B2375" s="183" t="s">
        <v>3747</v>
      </c>
      <c r="C2375">
        <v>64004213</v>
      </c>
      <c r="D2375">
        <v>306</v>
      </c>
      <c r="E2375">
        <v>0</v>
      </c>
      <c r="F2375">
        <v>1</v>
      </c>
      <c r="G2375">
        <v>0</v>
      </c>
      <c r="H2375">
        <v>307</v>
      </c>
      <c r="I2375" s="183" t="s">
        <v>1051</v>
      </c>
      <c r="J2375" s="183" t="s">
        <v>12091</v>
      </c>
      <c r="K2375">
        <v>0</v>
      </c>
      <c r="L2375">
        <v>306</v>
      </c>
    </row>
    <row r="2376" spans="1:12">
      <c r="A2376" s="183" t="s">
        <v>856</v>
      </c>
      <c r="B2376" s="183" t="s">
        <v>1136</v>
      </c>
      <c r="C2376">
        <v>64004221</v>
      </c>
      <c r="D2376">
        <v>603</v>
      </c>
      <c r="E2376">
        <v>0</v>
      </c>
      <c r="F2376">
        <v>0</v>
      </c>
      <c r="G2376">
        <v>0</v>
      </c>
      <c r="H2376">
        <v>603</v>
      </c>
      <c r="I2376" s="183" t="s">
        <v>1051</v>
      </c>
      <c r="J2376" s="183" t="s">
        <v>12094</v>
      </c>
      <c r="K2376">
        <v>0</v>
      </c>
      <c r="L2376">
        <v>603</v>
      </c>
    </row>
    <row r="2377" spans="1:12">
      <c r="A2377" s="183" t="s">
        <v>857</v>
      </c>
      <c r="B2377" s="183" t="s">
        <v>1050</v>
      </c>
      <c r="C2377">
        <v>64004223</v>
      </c>
      <c r="D2377">
        <v>386</v>
      </c>
      <c r="E2377">
        <v>0</v>
      </c>
      <c r="F2377">
        <v>0</v>
      </c>
      <c r="G2377">
        <v>0</v>
      </c>
      <c r="H2377">
        <v>386</v>
      </c>
      <c r="I2377" s="183" t="s">
        <v>1051</v>
      </c>
      <c r="J2377" s="183" t="s">
        <v>12066</v>
      </c>
      <c r="K2377">
        <v>0</v>
      </c>
      <c r="L2377">
        <v>386</v>
      </c>
    </row>
    <row r="2378" spans="1:12">
      <c r="A2378" s="183" t="s">
        <v>3200</v>
      </c>
      <c r="B2378" s="183" t="s">
        <v>3201</v>
      </c>
      <c r="C2378">
        <v>64004224</v>
      </c>
      <c r="D2378">
        <v>459</v>
      </c>
      <c r="E2378">
        <v>0</v>
      </c>
      <c r="F2378">
        <v>0</v>
      </c>
      <c r="G2378">
        <v>0</v>
      </c>
      <c r="H2378">
        <v>459</v>
      </c>
      <c r="I2378" s="183" t="s">
        <v>1051</v>
      </c>
      <c r="J2378" s="183" t="s">
        <v>12085</v>
      </c>
      <c r="K2378">
        <v>0</v>
      </c>
      <c r="L2378">
        <v>459</v>
      </c>
    </row>
    <row r="2379" spans="1:12">
      <c r="A2379" s="183" t="s">
        <v>3191</v>
      </c>
      <c r="B2379" s="183" t="s">
        <v>3192</v>
      </c>
      <c r="C2379">
        <v>64004232</v>
      </c>
      <c r="D2379">
        <v>248</v>
      </c>
      <c r="E2379">
        <v>0</v>
      </c>
      <c r="F2379">
        <v>0</v>
      </c>
      <c r="G2379">
        <v>0</v>
      </c>
      <c r="H2379">
        <v>248</v>
      </c>
      <c r="I2379" s="183" t="s">
        <v>1051</v>
      </c>
      <c r="J2379" s="183" t="s">
        <v>12059</v>
      </c>
      <c r="K2379">
        <v>0</v>
      </c>
      <c r="L2379">
        <v>248</v>
      </c>
    </row>
    <row r="2380" spans="1:12">
      <c r="A2380" s="183" t="s">
        <v>858</v>
      </c>
      <c r="B2380" s="183" t="s">
        <v>1134</v>
      </c>
      <c r="C2380">
        <v>64004236</v>
      </c>
      <c r="D2380">
        <v>143</v>
      </c>
      <c r="E2380">
        <v>0</v>
      </c>
      <c r="F2380">
        <v>0</v>
      </c>
      <c r="G2380">
        <v>0</v>
      </c>
      <c r="H2380">
        <v>143</v>
      </c>
      <c r="I2380" s="183" t="s">
        <v>1051</v>
      </c>
      <c r="J2380" s="183" t="s">
        <v>12085</v>
      </c>
      <c r="K2380">
        <v>0</v>
      </c>
      <c r="L2380">
        <v>143</v>
      </c>
    </row>
    <row r="2381" spans="1:12">
      <c r="A2381" s="183" t="s">
        <v>6227</v>
      </c>
      <c r="B2381" s="183" t="s">
        <v>6228</v>
      </c>
      <c r="C2381">
        <v>64001206</v>
      </c>
      <c r="D2381">
        <v>211</v>
      </c>
      <c r="E2381">
        <v>0</v>
      </c>
      <c r="F2381">
        <v>1</v>
      </c>
      <c r="G2381">
        <v>0</v>
      </c>
      <c r="H2381">
        <v>212</v>
      </c>
      <c r="I2381" s="183" t="s">
        <v>1062</v>
      </c>
      <c r="J2381" s="183" t="s">
        <v>12067</v>
      </c>
      <c r="K2381">
        <v>0</v>
      </c>
      <c r="L2381">
        <v>211</v>
      </c>
    </row>
    <row r="2382" spans="1:12">
      <c r="A2382" s="183" t="s">
        <v>6177</v>
      </c>
      <c r="B2382" s="183" t="s">
        <v>6178</v>
      </c>
      <c r="C2382">
        <v>64001215</v>
      </c>
      <c r="D2382">
        <v>201</v>
      </c>
      <c r="E2382">
        <v>0</v>
      </c>
      <c r="F2382">
        <v>2</v>
      </c>
      <c r="G2382">
        <v>0</v>
      </c>
      <c r="H2382">
        <v>203</v>
      </c>
      <c r="I2382" s="183" t="s">
        <v>1062</v>
      </c>
      <c r="J2382" s="183" t="s">
        <v>12085</v>
      </c>
      <c r="K2382">
        <v>0</v>
      </c>
      <c r="L2382">
        <v>201</v>
      </c>
    </row>
    <row r="2383" spans="1:12">
      <c r="A2383" s="183" t="s">
        <v>6302</v>
      </c>
      <c r="B2383" s="183" t="s">
        <v>6303</v>
      </c>
      <c r="C2383">
        <v>64001216</v>
      </c>
      <c r="D2383">
        <v>0</v>
      </c>
      <c r="E2383">
        <v>0</v>
      </c>
      <c r="F2383">
        <v>1</v>
      </c>
      <c r="G2383">
        <v>0</v>
      </c>
      <c r="H2383">
        <v>1</v>
      </c>
      <c r="I2383" s="183" t="s">
        <v>1062</v>
      </c>
      <c r="J2383" s="183" t="s">
        <v>12060</v>
      </c>
      <c r="K2383">
        <v>0</v>
      </c>
      <c r="L2383">
        <v>0</v>
      </c>
    </row>
    <row r="2384" spans="1:12">
      <c r="A2384" s="183" t="s">
        <v>6120</v>
      </c>
      <c r="B2384" s="183" t="s">
        <v>6121</v>
      </c>
      <c r="C2384">
        <v>64003213</v>
      </c>
      <c r="D2384">
        <v>387</v>
      </c>
      <c r="E2384">
        <v>0</v>
      </c>
      <c r="F2384">
        <v>0</v>
      </c>
      <c r="G2384">
        <v>0</v>
      </c>
      <c r="H2384">
        <v>387</v>
      </c>
      <c r="I2384" s="183" t="s">
        <v>1012</v>
      </c>
      <c r="J2384" s="183" t="s">
        <v>12059</v>
      </c>
      <c r="K2384">
        <v>0</v>
      </c>
      <c r="L2384">
        <v>387</v>
      </c>
    </row>
    <row r="2385" spans="1:12">
      <c r="A2385" s="183" t="s">
        <v>5889</v>
      </c>
      <c r="B2385" s="183" t="s">
        <v>5890</v>
      </c>
      <c r="C2385">
        <v>11860219</v>
      </c>
      <c r="D2385">
        <v>150</v>
      </c>
      <c r="E2385">
        <v>0</v>
      </c>
      <c r="F2385">
        <v>0</v>
      </c>
      <c r="G2385">
        <v>0</v>
      </c>
      <c r="H2385">
        <v>150</v>
      </c>
      <c r="I2385" s="183" t="s">
        <v>1052</v>
      </c>
      <c r="J2385" s="183" t="s">
        <v>12081</v>
      </c>
      <c r="K2385">
        <v>0</v>
      </c>
      <c r="L2385">
        <v>150</v>
      </c>
    </row>
    <row r="2386" spans="1:12">
      <c r="A2386" s="183" t="s">
        <v>2976</v>
      </c>
      <c r="B2386" s="183" t="s">
        <v>2977</v>
      </c>
      <c r="C2386">
        <v>11860223</v>
      </c>
      <c r="D2386">
        <v>213</v>
      </c>
      <c r="E2386">
        <v>0</v>
      </c>
      <c r="F2386">
        <v>0</v>
      </c>
      <c r="G2386">
        <v>0</v>
      </c>
      <c r="H2386">
        <v>213</v>
      </c>
      <c r="I2386" s="183" t="s">
        <v>1052</v>
      </c>
      <c r="J2386" s="183" t="s">
        <v>12093</v>
      </c>
      <c r="K2386">
        <v>0</v>
      </c>
      <c r="L2386">
        <v>213</v>
      </c>
    </row>
    <row r="2387" spans="1:12">
      <c r="A2387" s="183" t="s">
        <v>3958</v>
      </c>
      <c r="B2387" s="183" t="s">
        <v>3959</v>
      </c>
      <c r="C2387">
        <v>11860234</v>
      </c>
      <c r="D2387">
        <v>304</v>
      </c>
      <c r="E2387">
        <v>0</v>
      </c>
      <c r="F2387">
        <v>0</v>
      </c>
      <c r="G2387">
        <v>0</v>
      </c>
      <c r="H2387">
        <v>304</v>
      </c>
      <c r="I2387" s="183" t="s">
        <v>1052</v>
      </c>
      <c r="J2387" s="183" t="s">
        <v>12087</v>
      </c>
      <c r="K2387">
        <v>0</v>
      </c>
      <c r="L2387">
        <v>304</v>
      </c>
    </row>
    <row r="2388" spans="1:12">
      <c r="A2388" s="183" t="s">
        <v>236</v>
      </c>
      <c r="B2388" s="183" t="s">
        <v>237</v>
      </c>
      <c r="C2388">
        <v>11860236</v>
      </c>
      <c r="D2388">
        <v>235</v>
      </c>
      <c r="E2388">
        <v>0</v>
      </c>
      <c r="F2388">
        <v>0</v>
      </c>
      <c r="G2388">
        <v>0</v>
      </c>
      <c r="H2388">
        <v>235</v>
      </c>
      <c r="I2388" s="183" t="s">
        <v>1052</v>
      </c>
      <c r="J2388" s="183" t="s">
        <v>12067</v>
      </c>
      <c r="K2388">
        <v>0</v>
      </c>
      <c r="L2388">
        <v>235</v>
      </c>
    </row>
    <row r="2389" spans="1:12">
      <c r="A2389" s="183" t="s">
        <v>246</v>
      </c>
      <c r="B2389" s="183" t="s">
        <v>247</v>
      </c>
      <c r="C2389">
        <v>11860246</v>
      </c>
      <c r="D2389">
        <v>180</v>
      </c>
      <c r="E2389">
        <v>0</v>
      </c>
      <c r="F2389">
        <v>0</v>
      </c>
      <c r="G2389">
        <v>0</v>
      </c>
      <c r="H2389">
        <v>180</v>
      </c>
      <c r="I2389" s="183" t="s">
        <v>1052</v>
      </c>
      <c r="J2389" s="183" t="s">
        <v>12091</v>
      </c>
      <c r="K2389">
        <v>0</v>
      </c>
      <c r="L2389">
        <v>180</v>
      </c>
    </row>
    <row r="2390" spans="1:12">
      <c r="A2390" s="183" t="s">
        <v>250</v>
      </c>
      <c r="B2390" s="183" t="s">
        <v>1227</v>
      </c>
      <c r="C2390">
        <v>7200200</v>
      </c>
      <c r="D2390">
        <v>408</v>
      </c>
      <c r="E2390">
        <v>0</v>
      </c>
      <c r="F2390">
        <v>0</v>
      </c>
      <c r="G2390">
        <v>0</v>
      </c>
      <c r="H2390">
        <v>408</v>
      </c>
      <c r="I2390" s="183" t="s">
        <v>1228</v>
      </c>
      <c r="J2390" s="183" t="s">
        <v>12063</v>
      </c>
      <c r="K2390">
        <v>0</v>
      </c>
      <c r="L2390">
        <v>408</v>
      </c>
    </row>
    <row r="2391" spans="1:12">
      <c r="A2391" s="183" t="s">
        <v>4177</v>
      </c>
      <c r="B2391" s="183" t="s">
        <v>4178</v>
      </c>
      <c r="C2391">
        <v>2290200</v>
      </c>
      <c r="D2391">
        <v>49</v>
      </c>
      <c r="E2391">
        <v>0</v>
      </c>
      <c r="F2391">
        <v>0</v>
      </c>
      <c r="G2391">
        <v>0</v>
      </c>
      <c r="H2391">
        <v>49</v>
      </c>
      <c r="I2391" s="183" t="s">
        <v>1053</v>
      </c>
      <c r="J2391" s="183" t="s">
        <v>12094</v>
      </c>
      <c r="K2391">
        <v>0</v>
      </c>
      <c r="L2391">
        <v>49</v>
      </c>
    </row>
    <row r="2392" spans="1:12">
      <c r="A2392" s="183" t="s">
        <v>259</v>
      </c>
      <c r="B2392" s="183" t="s">
        <v>260</v>
      </c>
      <c r="C2392">
        <v>2290202</v>
      </c>
      <c r="D2392">
        <v>239</v>
      </c>
      <c r="E2392">
        <v>0</v>
      </c>
      <c r="F2392">
        <v>0</v>
      </c>
      <c r="G2392">
        <v>0</v>
      </c>
      <c r="H2392">
        <v>239</v>
      </c>
      <c r="I2392" s="183" t="s">
        <v>1053</v>
      </c>
      <c r="J2392" s="183" t="s">
        <v>12067</v>
      </c>
      <c r="K2392">
        <v>0</v>
      </c>
      <c r="L2392">
        <v>239</v>
      </c>
    </row>
    <row r="2393" spans="1:12">
      <c r="A2393" s="183" t="s">
        <v>726</v>
      </c>
      <c r="B2393" s="183" t="s">
        <v>730</v>
      </c>
      <c r="C2393">
        <v>2290226</v>
      </c>
      <c r="D2393">
        <v>7</v>
      </c>
      <c r="E2393">
        <v>0</v>
      </c>
      <c r="F2393">
        <v>0</v>
      </c>
      <c r="G2393">
        <v>0</v>
      </c>
      <c r="H2393">
        <v>7</v>
      </c>
      <c r="I2393" s="183" t="s">
        <v>1053</v>
      </c>
      <c r="J2393" s="183" t="s">
        <v>12093</v>
      </c>
      <c r="K2393">
        <v>0</v>
      </c>
      <c r="L2393">
        <v>7</v>
      </c>
    </row>
    <row r="2394" spans="1:12">
      <c r="A2394" s="183" t="s">
        <v>3178</v>
      </c>
      <c r="B2394" s="183" t="s">
        <v>3179</v>
      </c>
      <c r="C2394">
        <v>63009210</v>
      </c>
      <c r="D2394">
        <v>370</v>
      </c>
      <c r="E2394">
        <v>0</v>
      </c>
      <c r="F2394">
        <v>0</v>
      </c>
      <c r="G2394">
        <v>0</v>
      </c>
      <c r="H2394">
        <v>370</v>
      </c>
      <c r="I2394" s="183" t="s">
        <v>1093</v>
      </c>
      <c r="J2394" s="183" t="s">
        <v>12093</v>
      </c>
      <c r="K2394">
        <v>0</v>
      </c>
      <c r="L2394">
        <v>370</v>
      </c>
    </row>
    <row r="2395" spans="1:12">
      <c r="A2395" s="183" t="s">
        <v>6169</v>
      </c>
      <c r="B2395" s="183" t="s">
        <v>6170</v>
      </c>
      <c r="C2395">
        <v>63009213</v>
      </c>
      <c r="D2395">
        <v>352</v>
      </c>
      <c r="E2395">
        <v>0</v>
      </c>
      <c r="F2395">
        <v>2</v>
      </c>
      <c r="G2395">
        <v>0</v>
      </c>
      <c r="H2395">
        <v>354</v>
      </c>
      <c r="I2395" s="183" t="s">
        <v>1093</v>
      </c>
      <c r="J2395" s="183" t="s">
        <v>12087</v>
      </c>
      <c r="K2395">
        <v>0</v>
      </c>
      <c r="L2395">
        <v>352</v>
      </c>
    </row>
    <row r="2396" spans="1:12">
      <c r="A2396" s="183" t="s">
        <v>1236</v>
      </c>
      <c r="B2396" s="183" t="s">
        <v>1237</v>
      </c>
      <c r="C2396">
        <v>63009228</v>
      </c>
      <c r="D2396">
        <v>272</v>
      </c>
      <c r="E2396">
        <v>0</v>
      </c>
      <c r="F2396">
        <v>0</v>
      </c>
      <c r="G2396">
        <v>0</v>
      </c>
      <c r="H2396">
        <v>272</v>
      </c>
      <c r="I2396" s="183" t="s">
        <v>1093</v>
      </c>
      <c r="J2396" s="183" t="s">
        <v>12060</v>
      </c>
      <c r="K2396">
        <v>0</v>
      </c>
      <c r="L2396">
        <v>272</v>
      </c>
    </row>
    <row r="2397" spans="1:12">
      <c r="A2397" s="183" t="s">
        <v>293</v>
      </c>
      <c r="B2397" s="183" t="s">
        <v>1064</v>
      </c>
      <c r="C2397">
        <v>75125180</v>
      </c>
      <c r="D2397">
        <v>266</v>
      </c>
      <c r="E2397">
        <v>0</v>
      </c>
      <c r="F2397">
        <v>0</v>
      </c>
      <c r="G2397">
        <v>0</v>
      </c>
      <c r="H2397">
        <v>266</v>
      </c>
      <c r="I2397" s="183" t="s">
        <v>1065</v>
      </c>
      <c r="J2397" s="183" t="s">
        <v>12093</v>
      </c>
      <c r="K2397">
        <v>0</v>
      </c>
      <c r="L2397">
        <v>266</v>
      </c>
    </row>
    <row r="2398" spans="1:12">
      <c r="A2398" s="183" t="s">
        <v>294</v>
      </c>
      <c r="B2398" s="183" t="s">
        <v>1064</v>
      </c>
      <c r="C2398">
        <v>75175180</v>
      </c>
      <c r="D2398">
        <v>269</v>
      </c>
      <c r="E2398">
        <v>0</v>
      </c>
      <c r="F2398">
        <v>0</v>
      </c>
      <c r="G2398">
        <v>0</v>
      </c>
      <c r="H2398">
        <v>269</v>
      </c>
      <c r="I2398" s="183" t="s">
        <v>1065</v>
      </c>
      <c r="J2398" s="183" t="s">
        <v>12087</v>
      </c>
      <c r="K2398">
        <v>0</v>
      </c>
      <c r="L2398">
        <v>269</v>
      </c>
    </row>
    <row r="2399" spans="1:12">
      <c r="A2399" s="183" t="s">
        <v>296</v>
      </c>
      <c r="B2399" s="183" t="s">
        <v>1064</v>
      </c>
      <c r="C2399">
        <v>175075180</v>
      </c>
      <c r="D2399">
        <v>284</v>
      </c>
      <c r="E2399">
        <v>0</v>
      </c>
      <c r="F2399">
        <v>0</v>
      </c>
      <c r="G2399">
        <v>0</v>
      </c>
      <c r="H2399">
        <v>284</v>
      </c>
      <c r="I2399" s="183" t="s">
        <v>1065</v>
      </c>
      <c r="J2399" s="183" t="s">
        <v>12052</v>
      </c>
      <c r="K2399">
        <v>0</v>
      </c>
      <c r="L2399">
        <v>284</v>
      </c>
    </row>
    <row r="2400" spans="1:12">
      <c r="A2400" s="183" t="s">
        <v>5195</v>
      </c>
      <c r="B2400" s="183" t="s">
        <v>1064</v>
      </c>
      <c r="C2400">
        <v>500075180</v>
      </c>
      <c r="D2400">
        <v>205</v>
      </c>
      <c r="E2400">
        <v>0</v>
      </c>
      <c r="F2400">
        <v>0</v>
      </c>
      <c r="G2400">
        <v>0</v>
      </c>
      <c r="H2400">
        <v>205</v>
      </c>
      <c r="I2400" s="183" t="s">
        <v>1065</v>
      </c>
      <c r="J2400" s="183" t="s">
        <v>12091</v>
      </c>
      <c r="K2400">
        <v>0</v>
      </c>
      <c r="L2400">
        <v>205</v>
      </c>
    </row>
    <row r="2401" spans="1:12">
      <c r="A2401" s="183" t="s">
        <v>299</v>
      </c>
      <c r="B2401" s="183" t="s">
        <v>1064</v>
      </c>
      <c r="C2401">
        <v>525125180</v>
      </c>
      <c r="D2401">
        <v>645</v>
      </c>
      <c r="E2401">
        <v>0</v>
      </c>
      <c r="F2401">
        <v>0</v>
      </c>
      <c r="G2401">
        <v>0</v>
      </c>
      <c r="H2401">
        <v>645</v>
      </c>
      <c r="I2401" s="183" t="s">
        <v>1065</v>
      </c>
      <c r="J2401" s="183" t="s">
        <v>12094</v>
      </c>
      <c r="K2401">
        <v>0</v>
      </c>
      <c r="L2401">
        <v>645</v>
      </c>
    </row>
    <row r="2402" spans="1:12">
      <c r="A2402" s="183" t="s">
        <v>5173</v>
      </c>
      <c r="B2402" s="183" t="s">
        <v>1064</v>
      </c>
      <c r="C2402">
        <v>650125180</v>
      </c>
      <c r="D2402">
        <v>307</v>
      </c>
      <c r="E2402">
        <v>0</v>
      </c>
      <c r="F2402">
        <v>1</v>
      </c>
      <c r="G2402">
        <v>0</v>
      </c>
      <c r="H2402">
        <v>308</v>
      </c>
      <c r="I2402" s="183" t="s">
        <v>1065</v>
      </c>
      <c r="J2402" s="183" t="s">
        <v>12058</v>
      </c>
      <c r="K2402">
        <v>0</v>
      </c>
      <c r="L2402">
        <v>307</v>
      </c>
    </row>
    <row r="2403" spans="1:12">
      <c r="A2403" s="183" t="s">
        <v>5193</v>
      </c>
      <c r="B2403" s="183" t="s">
        <v>1064</v>
      </c>
      <c r="C2403">
        <v>700125180</v>
      </c>
      <c r="D2403">
        <v>313</v>
      </c>
      <c r="E2403">
        <v>0</v>
      </c>
      <c r="F2403">
        <v>0</v>
      </c>
      <c r="G2403">
        <v>0</v>
      </c>
      <c r="H2403">
        <v>313</v>
      </c>
      <c r="I2403" s="183" t="s">
        <v>1065</v>
      </c>
      <c r="J2403" s="183" t="s">
        <v>12087</v>
      </c>
      <c r="K2403">
        <v>0</v>
      </c>
      <c r="L2403">
        <v>313</v>
      </c>
    </row>
    <row r="2404" spans="1:12">
      <c r="A2404" s="183" t="s">
        <v>3869</v>
      </c>
      <c r="B2404" s="183" t="s">
        <v>1032</v>
      </c>
      <c r="C2404">
        <v>73860202</v>
      </c>
      <c r="D2404">
        <v>113</v>
      </c>
      <c r="E2404">
        <v>0</v>
      </c>
      <c r="F2404">
        <v>0</v>
      </c>
      <c r="G2404">
        <v>0</v>
      </c>
      <c r="H2404">
        <v>113</v>
      </c>
      <c r="I2404" s="183" t="s">
        <v>1033</v>
      </c>
      <c r="J2404" s="183" t="s">
        <v>12054</v>
      </c>
      <c r="K2404">
        <v>0</v>
      </c>
      <c r="L2404">
        <v>113</v>
      </c>
    </row>
    <row r="2405" spans="1:12">
      <c r="A2405" s="183" t="s">
        <v>6304</v>
      </c>
      <c r="B2405" s="183" t="s">
        <v>1032</v>
      </c>
      <c r="C2405">
        <v>73860222</v>
      </c>
      <c r="D2405">
        <v>147</v>
      </c>
      <c r="E2405">
        <v>0</v>
      </c>
      <c r="F2405">
        <v>0</v>
      </c>
      <c r="G2405">
        <v>0</v>
      </c>
      <c r="H2405">
        <v>147</v>
      </c>
      <c r="I2405" s="183" t="s">
        <v>1033</v>
      </c>
      <c r="J2405" s="183" t="s">
        <v>12048</v>
      </c>
      <c r="K2405">
        <v>0</v>
      </c>
      <c r="L2405">
        <v>147</v>
      </c>
    </row>
    <row r="2406" spans="1:12">
      <c r="A2406" s="183" t="s">
        <v>3214</v>
      </c>
      <c r="B2406" s="183" t="s">
        <v>1032</v>
      </c>
      <c r="C2406">
        <v>73860224</v>
      </c>
      <c r="D2406">
        <v>255</v>
      </c>
      <c r="E2406">
        <v>0</v>
      </c>
      <c r="F2406">
        <v>1</v>
      </c>
      <c r="G2406">
        <v>0</v>
      </c>
      <c r="H2406">
        <v>256</v>
      </c>
      <c r="I2406" s="183" t="s">
        <v>1033</v>
      </c>
      <c r="J2406" s="183" t="s">
        <v>12053</v>
      </c>
      <c r="K2406">
        <v>0</v>
      </c>
      <c r="L2406">
        <v>255</v>
      </c>
    </row>
    <row r="2407" spans="1:12">
      <c r="A2407" s="183" t="s">
        <v>5220</v>
      </c>
      <c r="B2407" s="183" t="s">
        <v>1064</v>
      </c>
      <c r="C2407">
        <v>375175180</v>
      </c>
      <c r="D2407">
        <v>278</v>
      </c>
      <c r="E2407">
        <v>0</v>
      </c>
      <c r="F2407">
        <v>0</v>
      </c>
      <c r="G2407">
        <v>0</v>
      </c>
      <c r="H2407">
        <v>278</v>
      </c>
      <c r="I2407" s="183" t="s">
        <v>1065</v>
      </c>
      <c r="J2407" s="183" t="s">
        <v>12053</v>
      </c>
      <c r="K2407">
        <v>0</v>
      </c>
      <c r="L2407">
        <v>278</v>
      </c>
    </row>
    <row r="2408" spans="1:12">
      <c r="A2408" s="183" t="s">
        <v>297</v>
      </c>
      <c r="B2408" s="183" t="s">
        <v>1064</v>
      </c>
      <c r="C2408">
        <v>450175180</v>
      </c>
      <c r="D2408">
        <v>445</v>
      </c>
      <c r="E2408">
        <v>0</v>
      </c>
      <c r="F2408">
        <v>0</v>
      </c>
      <c r="G2408">
        <v>0</v>
      </c>
      <c r="H2408">
        <v>445</v>
      </c>
      <c r="I2408" s="183" t="s">
        <v>1065</v>
      </c>
      <c r="J2408" s="183" t="s">
        <v>12091</v>
      </c>
      <c r="K2408">
        <v>0</v>
      </c>
      <c r="L2408">
        <v>445</v>
      </c>
    </row>
    <row r="2409" spans="1:12">
      <c r="A2409" s="183" t="s">
        <v>718</v>
      </c>
      <c r="B2409" s="183" t="s">
        <v>1064</v>
      </c>
      <c r="C2409">
        <v>550075180</v>
      </c>
      <c r="D2409">
        <v>423</v>
      </c>
      <c r="E2409">
        <v>0</v>
      </c>
      <c r="F2409">
        <v>0</v>
      </c>
      <c r="G2409">
        <v>0</v>
      </c>
      <c r="H2409">
        <v>423</v>
      </c>
      <c r="I2409" s="183" t="s">
        <v>1065</v>
      </c>
      <c r="J2409" s="183" t="s">
        <v>12092</v>
      </c>
      <c r="K2409">
        <v>0</v>
      </c>
      <c r="L2409">
        <v>423</v>
      </c>
    </row>
    <row r="2410" spans="1:12">
      <c r="A2410" s="183" t="s">
        <v>6305</v>
      </c>
      <c r="B2410" s="183" t="s">
        <v>1064</v>
      </c>
      <c r="C2410">
        <v>550175180</v>
      </c>
      <c r="D2410">
        <v>535</v>
      </c>
      <c r="E2410">
        <v>0</v>
      </c>
      <c r="F2410">
        <v>0</v>
      </c>
      <c r="G2410">
        <v>0</v>
      </c>
      <c r="H2410">
        <v>535</v>
      </c>
      <c r="I2410" s="183" t="s">
        <v>1065</v>
      </c>
      <c r="J2410" s="183" t="s">
        <v>12067</v>
      </c>
      <c r="K2410">
        <v>0</v>
      </c>
      <c r="L2410">
        <v>535</v>
      </c>
    </row>
    <row r="2411" spans="1:12">
      <c r="A2411" s="183" t="s">
        <v>1089</v>
      </c>
      <c r="B2411" s="183" t="s">
        <v>1032</v>
      </c>
      <c r="C2411">
        <v>73860211</v>
      </c>
      <c r="D2411">
        <v>119</v>
      </c>
      <c r="E2411">
        <v>0</v>
      </c>
      <c r="F2411">
        <v>0</v>
      </c>
      <c r="G2411">
        <v>0</v>
      </c>
      <c r="H2411">
        <v>119</v>
      </c>
      <c r="I2411" s="183" t="s">
        <v>1033</v>
      </c>
      <c r="J2411" s="183" t="s">
        <v>12081</v>
      </c>
      <c r="K2411">
        <v>0</v>
      </c>
      <c r="L2411">
        <v>119</v>
      </c>
    </row>
    <row r="2412" spans="1:12">
      <c r="A2412" s="183" t="s">
        <v>1160</v>
      </c>
      <c r="B2412" s="183" t="s">
        <v>1032</v>
      </c>
      <c r="C2412">
        <v>73860213</v>
      </c>
      <c r="D2412">
        <v>270</v>
      </c>
      <c r="E2412">
        <v>0</v>
      </c>
      <c r="F2412">
        <v>0</v>
      </c>
      <c r="G2412">
        <v>0</v>
      </c>
      <c r="H2412">
        <v>270</v>
      </c>
      <c r="I2412" s="183" t="s">
        <v>1033</v>
      </c>
      <c r="J2412" s="183" t="s">
        <v>12087</v>
      </c>
      <c r="K2412">
        <v>0</v>
      </c>
      <c r="L2412">
        <v>270</v>
      </c>
    </row>
    <row r="2413" spans="1:12">
      <c r="A2413" s="183" t="s">
        <v>318</v>
      </c>
      <c r="B2413" s="183" t="s">
        <v>1060</v>
      </c>
      <c r="C2413">
        <v>150125180154</v>
      </c>
      <c r="D2413">
        <v>118</v>
      </c>
      <c r="E2413">
        <v>0</v>
      </c>
      <c r="F2413">
        <v>0</v>
      </c>
      <c r="G2413">
        <v>0</v>
      </c>
      <c r="H2413">
        <v>118</v>
      </c>
      <c r="I2413" s="183" t="s">
        <v>1061</v>
      </c>
      <c r="J2413" s="183" t="s">
        <v>12081</v>
      </c>
      <c r="K2413">
        <v>0</v>
      </c>
      <c r="L2413">
        <v>118</v>
      </c>
    </row>
    <row r="2414" spans="1:12">
      <c r="A2414" s="183" t="s">
        <v>320</v>
      </c>
      <c r="B2414" s="183" t="s">
        <v>1060</v>
      </c>
      <c r="C2414">
        <v>175075180154</v>
      </c>
      <c r="D2414">
        <v>20</v>
      </c>
      <c r="E2414">
        <v>0</v>
      </c>
      <c r="F2414">
        <v>0</v>
      </c>
      <c r="G2414">
        <v>0</v>
      </c>
      <c r="H2414">
        <v>20</v>
      </c>
      <c r="I2414" s="183" t="s">
        <v>1061</v>
      </c>
      <c r="J2414" s="183" t="s">
        <v>12067</v>
      </c>
      <c r="K2414">
        <v>0</v>
      </c>
      <c r="L2414">
        <v>20</v>
      </c>
    </row>
    <row r="2415" spans="1:12">
      <c r="A2415" s="183" t="s">
        <v>6102</v>
      </c>
      <c r="B2415" s="183" t="s">
        <v>1060</v>
      </c>
      <c r="C2415">
        <v>200125180154</v>
      </c>
      <c r="D2415">
        <v>131</v>
      </c>
      <c r="E2415">
        <v>0</v>
      </c>
      <c r="F2415">
        <v>0</v>
      </c>
      <c r="G2415">
        <v>0</v>
      </c>
      <c r="H2415">
        <v>131</v>
      </c>
      <c r="I2415" s="183" t="s">
        <v>1061</v>
      </c>
      <c r="J2415" s="183" t="s">
        <v>12053</v>
      </c>
      <c r="K2415">
        <v>0</v>
      </c>
      <c r="L2415">
        <v>131</v>
      </c>
    </row>
    <row r="2416" spans="1:12">
      <c r="A2416" s="183" t="s">
        <v>335</v>
      </c>
      <c r="B2416" s="183" t="s">
        <v>1060</v>
      </c>
      <c r="C2416">
        <v>350125180154</v>
      </c>
      <c r="D2416">
        <v>98</v>
      </c>
      <c r="E2416">
        <v>0</v>
      </c>
      <c r="F2416">
        <v>1</v>
      </c>
      <c r="G2416">
        <v>0</v>
      </c>
      <c r="H2416">
        <v>99</v>
      </c>
      <c r="I2416" s="183" t="s">
        <v>1061</v>
      </c>
      <c r="J2416" s="183" t="s">
        <v>12094</v>
      </c>
      <c r="K2416">
        <v>0</v>
      </c>
      <c r="L2416">
        <v>98</v>
      </c>
    </row>
    <row r="2417" spans="1:12">
      <c r="A2417" s="183" t="s">
        <v>6103</v>
      </c>
      <c r="B2417" s="183" t="s">
        <v>1060</v>
      </c>
      <c r="C2417">
        <v>500175180154</v>
      </c>
      <c r="D2417">
        <v>139</v>
      </c>
      <c r="E2417">
        <v>0</v>
      </c>
      <c r="F2417">
        <v>0</v>
      </c>
      <c r="G2417">
        <v>0</v>
      </c>
      <c r="H2417">
        <v>139</v>
      </c>
      <c r="I2417" s="183" t="s">
        <v>1061</v>
      </c>
      <c r="J2417" s="183" t="s">
        <v>12091</v>
      </c>
      <c r="K2417">
        <v>0</v>
      </c>
      <c r="L2417">
        <v>139</v>
      </c>
    </row>
    <row r="2418" spans="1:12">
      <c r="A2418" s="183" t="s">
        <v>341</v>
      </c>
      <c r="B2418" s="183" t="s">
        <v>1060</v>
      </c>
      <c r="C2418">
        <v>525075180154</v>
      </c>
      <c r="D2418">
        <v>593</v>
      </c>
      <c r="E2418">
        <v>0</v>
      </c>
      <c r="F2418">
        <v>0</v>
      </c>
      <c r="G2418">
        <v>0</v>
      </c>
      <c r="H2418">
        <v>593</v>
      </c>
      <c r="I2418" s="183" t="s">
        <v>1061</v>
      </c>
      <c r="J2418" s="183" t="s">
        <v>12091</v>
      </c>
      <c r="K2418">
        <v>0</v>
      </c>
      <c r="L2418">
        <v>593</v>
      </c>
    </row>
    <row r="2419" spans="1:12">
      <c r="A2419" s="183" t="s">
        <v>343</v>
      </c>
      <c r="B2419" s="183" t="s">
        <v>1060</v>
      </c>
      <c r="C2419">
        <v>550075180154</v>
      </c>
      <c r="D2419">
        <v>195</v>
      </c>
      <c r="E2419">
        <v>0</v>
      </c>
      <c r="F2419">
        <v>0</v>
      </c>
      <c r="G2419">
        <v>0</v>
      </c>
      <c r="H2419">
        <v>195</v>
      </c>
      <c r="I2419" s="183" t="s">
        <v>1061</v>
      </c>
      <c r="J2419" s="183" t="s">
        <v>12094</v>
      </c>
      <c r="K2419">
        <v>0</v>
      </c>
      <c r="L2419">
        <v>195</v>
      </c>
    </row>
    <row r="2420" spans="1:12">
      <c r="A2420" s="183" t="s">
        <v>350</v>
      </c>
      <c r="B2420" s="183" t="s">
        <v>1060</v>
      </c>
      <c r="C2420">
        <v>750075180154</v>
      </c>
      <c r="D2420">
        <v>42</v>
      </c>
      <c r="E2420">
        <v>0</v>
      </c>
      <c r="F2420">
        <v>0</v>
      </c>
      <c r="G2420">
        <v>0</v>
      </c>
      <c r="H2420">
        <v>42</v>
      </c>
      <c r="I2420" s="183" t="s">
        <v>1061</v>
      </c>
      <c r="J2420" s="183" t="s">
        <v>12066</v>
      </c>
      <c r="K2420">
        <v>0</v>
      </c>
      <c r="L2420">
        <v>42</v>
      </c>
    </row>
    <row r="2421" spans="1:12">
      <c r="A2421" s="183" t="s">
        <v>358</v>
      </c>
      <c r="B2421" s="183" t="s">
        <v>1060</v>
      </c>
      <c r="C2421">
        <v>900125180154</v>
      </c>
      <c r="D2421">
        <v>13</v>
      </c>
      <c r="E2421">
        <v>0</v>
      </c>
      <c r="F2421">
        <v>0</v>
      </c>
      <c r="G2421">
        <v>0</v>
      </c>
      <c r="H2421">
        <v>13</v>
      </c>
      <c r="I2421" s="183" t="s">
        <v>1061</v>
      </c>
      <c r="J2421" s="183" t="s">
        <v>12048</v>
      </c>
      <c r="K2421">
        <v>0</v>
      </c>
      <c r="L2421">
        <v>13</v>
      </c>
    </row>
    <row r="2422" spans="1:12">
      <c r="A2422" s="183" t="s">
        <v>5217</v>
      </c>
      <c r="B2422" s="183" t="s">
        <v>1060</v>
      </c>
      <c r="C2422">
        <v>900175180154</v>
      </c>
      <c r="D2422">
        <v>20</v>
      </c>
      <c r="E2422">
        <v>0</v>
      </c>
      <c r="F2422">
        <v>0</v>
      </c>
      <c r="G2422">
        <v>0</v>
      </c>
      <c r="H2422">
        <v>20</v>
      </c>
      <c r="I2422" s="183" t="s">
        <v>1061</v>
      </c>
      <c r="J2422" s="183" t="s">
        <v>12091</v>
      </c>
      <c r="K2422">
        <v>0</v>
      </c>
      <c r="L2422">
        <v>20</v>
      </c>
    </row>
    <row r="2423" spans="1:12">
      <c r="A2423" s="183" t="s">
        <v>5122</v>
      </c>
      <c r="B2423" s="183" t="s">
        <v>5123</v>
      </c>
      <c r="C2423">
        <v>90178205</v>
      </c>
      <c r="D2423">
        <v>267</v>
      </c>
      <c r="E2423">
        <v>0</v>
      </c>
      <c r="F2423">
        <v>0</v>
      </c>
      <c r="G2423">
        <v>0</v>
      </c>
      <c r="H2423">
        <v>267</v>
      </c>
      <c r="I2423" s="183" t="s">
        <v>990</v>
      </c>
      <c r="J2423" s="183" t="s">
        <v>12060</v>
      </c>
      <c r="K2423">
        <v>0</v>
      </c>
      <c r="L2423">
        <v>267</v>
      </c>
    </row>
    <row r="2424" spans="1:12">
      <c r="A2424" s="183" t="s">
        <v>5102</v>
      </c>
      <c r="B2424" s="183" t="s">
        <v>5103</v>
      </c>
      <c r="C2424">
        <v>90178207</v>
      </c>
      <c r="D2424">
        <v>432</v>
      </c>
      <c r="E2424">
        <v>0</v>
      </c>
      <c r="F2424">
        <v>0</v>
      </c>
      <c r="G2424">
        <v>0</v>
      </c>
      <c r="H2424">
        <v>432</v>
      </c>
      <c r="I2424" s="183" t="s">
        <v>990</v>
      </c>
      <c r="J2424" s="183" t="s">
        <v>12058</v>
      </c>
      <c r="K2424">
        <v>0</v>
      </c>
      <c r="L2424">
        <v>432</v>
      </c>
    </row>
    <row r="2425" spans="1:12">
      <c r="A2425" s="183" t="s">
        <v>5104</v>
      </c>
      <c r="B2425" s="183" t="s">
        <v>5105</v>
      </c>
      <c r="C2425">
        <v>90178214</v>
      </c>
      <c r="D2425">
        <v>698</v>
      </c>
      <c r="E2425">
        <v>0</v>
      </c>
      <c r="F2425">
        <v>0</v>
      </c>
      <c r="G2425">
        <v>0</v>
      </c>
      <c r="H2425">
        <v>698</v>
      </c>
      <c r="I2425" s="183" t="s">
        <v>990</v>
      </c>
      <c r="J2425" s="183" t="s">
        <v>12054</v>
      </c>
      <c r="K2425">
        <v>0</v>
      </c>
      <c r="L2425">
        <v>698</v>
      </c>
    </row>
    <row r="2426" spans="1:12">
      <c r="A2426" s="183" t="s">
        <v>5208</v>
      </c>
      <c r="B2426" s="183" t="s">
        <v>5209</v>
      </c>
      <c r="C2426">
        <v>90178228</v>
      </c>
      <c r="D2426">
        <v>539</v>
      </c>
      <c r="E2426">
        <v>0</v>
      </c>
      <c r="F2426">
        <v>0</v>
      </c>
      <c r="G2426">
        <v>0</v>
      </c>
      <c r="H2426">
        <v>539</v>
      </c>
      <c r="I2426" s="183" t="s">
        <v>990</v>
      </c>
      <c r="J2426" s="183" t="s">
        <v>12087</v>
      </c>
      <c r="K2426">
        <v>0</v>
      </c>
      <c r="L2426">
        <v>539</v>
      </c>
    </row>
    <row r="2427" spans="1:12">
      <c r="A2427" s="183" t="s">
        <v>6306</v>
      </c>
      <c r="B2427" s="183" t="s">
        <v>6307</v>
      </c>
      <c r="C2427">
        <v>90189211</v>
      </c>
      <c r="D2427" s="501">
        <v>1564</v>
      </c>
      <c r="E2427">
        <v>0</v>
      </c>
      <c r="F2427">
        <v>0</v>
      </c>
      <c r="G2427">
        <v>0</v>
      </c>
      <c r="H2427" s="501">
        <v>1564</v>
      </c>
      <c r="I2427" s="183" t="s">
        <v>1025</v>
      </c>
      <c r="J2427" s="183" t="s">
        <v>12055</v>
      </c>
      <c r="K2427">
        <v>0</v>
      </c>
      <c r="L2427" s="501">
        <v>1564</v>
      </c>
    </row>
    <row r="2428" spans="1:12">
      <c r="A2428" s="183" t="s">
        <v>4615</v>
      </c>
      <c r="B2428" s="183" t="s">
        <v>4616</v>
      </c>
      <c r="C2428">
        <v>90189215</v>
      </c>
      <c r="D2428" s="501">
        <v>1771</v>
      </c>
      <c r="E2428">
        <v>0</v>
      </c>
      <c r="F2428">
        <v>0</v>
      </c>
      <c r="G2428">
        <v>0</v>
      </c>
      <c r="H2428" s="501">
        <v>1771</v>
      </c>
      <c r="I2428" s="183" t="s">
        <v>1025</v>
      </c>
      <c r="J2428" s="183" t="s">
        <v>12050</v>
      </c>
      <c r="K2428">
        <v>0</v>
      </c>
      <c r="L2428" s="501">
        <v>1771</v>
      </c>
    </row>
    <row r="2429" spans="1:12">
      <c r="A2429" s="183" t="s">
        <v>5169</v>
      </c>
      <c r="B2429" s="183" t="s">
        <v>5170</v>
      </c>
      <c r="C2429">
        <v>90189230</v>
      </c>
      <c r="D2429">
        <v>838</v>
      </c>
      <c r="E2429">
        <v>0</v>
      </c>
      <c r="F2429">
        <v>1</v>
      </c>
      <c r="G2429">
        <v>0</v>
      </c>
      <c r="H2429">
        <v>839</v>
      </c>
      <c r="I2429" s="183" t="s">
        <v>1025</v>
      </c>
      <c r="J2429" s="183" t="s">
        <v>12063</v>
      </c>
      <c r="K2429">
        <v>0</v>
      </c>
      <c r="L2429">
        <v>838</v>
      </c>
    </row>
    <row r="2430" spans="1:12">
      <c r="A2430" s="183" t="s">
        <v>5086</v>
      </c>
      <c r="B2430" s="183" t="s">
        <v>5087</v>
      </c>
      <c r="C2430">
        <v>90179200</v>
      </c>
      <c r="D2430">
        <v>829</v>
      </c>
      <c r="E2430">
        <v>0</v>
      </c>
      <c r="F2430">
        <v>0</v>
      </c>
      <c r="G2430">
        <v>0</v>
      </c>
      <c r="H2430">
        <v>829</v>
      </c>
      <c r="I2430" s="183" t="s">
        <v>1067</v>
      </c>
      <c r="J2430" s="183" t="s">
        <v>12095</v>
      </c>
      <c r="K2430">
        <v>0</v>
      </c>
      <c r="L2430">
        <v>829</v>
      </c>
    </row>
    <row r="2431" spans="1:12">
      <c r="A2431" s="183" t="s">
        <v>702</v>
      </c>
      <c r="B2431" s="183" t="s">
        <v>1261</v>
      </c>
      <c r="C2431">
        <v>90179202</v>
      </c>
      <c r="D2431">
        <v>167</v>
      </c>
      <c r="E2431">
        <v>0</v>
      </c>
      <c r="F2431">
        <v>0</v>
      </c>
      <c r="G2431">
        <v>0</v>
      </c>
      <c r="H2431">
        <v>167</v>
      </c>
      <c r="I2431" s="183" t="s">
        <v>1067</v>
      </c>
      <c r="J2431" s="183" t="s">
        <v>12059</v>
      </c>
      <c r="K2431">
        <v>0</v>
      </c>
      <c r="L2431">
        <v>167</v>
      </c>
    </row>
    <row r="2432" spans="1:12">
      <c r="A2432" s="183" t="s">
        <v>5183</v>
      </c>
      <c r="B2432" s="183" t="s">
        <v>5184</v>
      </c>
      <c r="C2432">
        <v>90179209</v>
      </c>
      <c r="D2432">
        <v>672</v>
      </c>
      <c r="E2432">
        <v>0</v>
      </c>
      <c r="F2432">
        <v>0</v>
      </c>
      <c r="G2432">
        <v>0</v>
      </c>
      <c r="H2432">
        <v>672</v>
      </c>
      <c r="I2432" s="183" t="s">
        <v>1067</v>
      </c>
      <c r="J2432" s="183" t="s">
        <v>12091</v>
      </c>
      <c r="K2432">
        <v>0</v>
      </c>
      <c r="L2432">
        <v>672</v>
      </c>
    </row>
    <row r="2433" spans="1:12">
      <c r="A2433" s="183" t="s">
        <v>5092</v>
      </c>
      <c r="B2433" s="183" t="s">
        <v>5093</v>
      </c>
      <c r="C2433">
        <v>90179217</v>
      </c>
      <c r="D2433">
        <v>912</v>
      </c>
      <c r="E2433">
        <v>0</v>
      </c>
      <c r="F2433">
        <v>0</v>
      </c>
      <c r="G2433">
        <v>0</v>
      </c>
      <c r="H2433">
        <v>912</v>
      </c>
      <c r="I2433" s="183" t="s">
        <v>1067</v>
      </c>
      <c r="J2433" s="183" t="s">
        <v>12057</v>
      </c>
      <c r="K2433">
        <v>0</v>
      </c>
      <c r="L2433">
        <v>912</v>
      </c>
    </row>
    <row r="2434" spans="1:12">
      <c r="A2434" s="183" t="s">
        <v>5227</v>
      </c>
      <c r="B2434" s="183" t="s">
        <v>5228</v>
      </c>
      <c r="C2434">
        <v>90179226</v>
      </c>
      <c r="D2434">
        <v>953</v>
      </c>
      <c r="E2434">
        <v>0</v>
      </c>
      <c r="F2434">
        <v>0</v>
      </c>
      <c r="G2434">
        <v>0</v>
      </c>
      <c r="H2434">
        <v>953</v>
      </c>
      <c r="I2434" s="183" t="s">
        <v>1067</v>
      </c>
      <c r="J2434" s="183" t="s">
        <v>12066</v>
      </c>
      <c r="K2434">
        <v>0</v>
      </c>
      <c r="L2434">
        <v>953</v>
      </c>
    </row>
    <row r="2435" spans="1:12">
      <c r="A2435" s="183" t="s">
        <v>4867</v>
      </c>
      <c r="B2435" s="183" t="s">
        <v>4868</v>
      </c>
      <c r="C2435">
        <v>90179230</v>
      </c>
      <c r="D2435">
        <v>566</v>
      </c>
      <c r="E2435">
        <v>0</v>
      </c>
      <c r="F2435">
        <v>0</v>
      </c>
      <c r="G2435">
        <v>0</v>
      </c>
      <c r="H2435">
        <v>566</v>
      </c>
      <c r="I2435" s="183" t="s">
        <v>1067</v>
      </c>
      <c r="J2435" s="183" t="s">
        <v>12052</v>
      </c>
      <c r="K2435">
        <v>0</v>
      </c>
      <c r="L2435">
        <v>566</v>
      </c>
    </row>
    <row r="2436" spans="1:12">
      <c r="A2436" s="183" t="s">
        <v>5874</v>
      </c>
      <c r="B2436" s="183" t="s">
        <v>5875</v>
      </c>
      <c r="C2436">
        <v>90179236</v>
      </c>
      <c r="D2436">
        <v>246</v>
      </c>
      <c r="E2436">
        <v>0</v>
      </c>
      <c r="F2436">
        <v>0</v>
      </c>
      <c r="G2436">
        <v>0</v>
      </c>
      <c r="H2436">
        <v>246</v>
      </c>
      <c r="I2436" s="183" t="s">
        <v>1067</v>
      </c>
      <c r="J2436" s="183" t="s">
        <v>12054</v>
      </c>
      <c r="K2436">
        <v>0</v>
      </c>
      <c r="L2436">
        <v>246</v>
      </c>
    </row>
    <row r="2437" spans="1:12">
      <c r="A2437" s="183" t="s">
        <v>820</v>
      </c>
      <c r="B2437" s="183" t="s">
        <v>1054</v>
      </c>
      <c r="C2437">
        <v>75180159</v>
      </c>
      <c r="D2437">
        <v>498</v>
      </c>
      <c r="E2437">
        <v>0</v>
      </c>
      <c r="F2437">
        <v>0</v>
      </c>
      <c r="G2437">
        <v>0</v>
      </c>
      <c r="H2437">
        <v>498</v>
      </c>
      <c r="I2437" s="183" t="s">
        <v>1055</v>
      </c>
      <c r="J2437" s="183" t="s">
        <v>12066</v>
      </c>
      <c r="K2437">
        <v>0</v>
      </c>
      <c r="L2437">
        <v>498</v>
      </c>
    </row>
    <row r="2438" spans="1:12">
      <c r="A2438" s="183" t="s">
        <v>821</v>
      </c>
      <c r="B2438" s="183" t="s">
        <v>1054</v>
      </c>
      <c r="C2438">
        <v>50175180159</v>
      </c>
      <c r="D2438">
        <v>374</v>
      </c>
      <c r="E2438">
        <v>0</v>
      </c>
      <c r="F2438">
        <v>0</v>
      </c>
      <c r="G2438">
        <v>0</v>
      </c>
      <c r="H2438">
        <v>374</v>
      </c>
      <c r="I2438" s="183" t="s">
        <v>1055</v>
      </c>
      <c r="J2438" s="183" t="s">
        <v>12063</v>
      </c>
      <c r="K2438">
        <v>0</v>
      </c>
      <c r="L2438">
        <v>374</v>
      </c>
    </row>
    <row r="2439" spans="1:12">
      <c r="A2439" s="183" t="s">
        <v>822</v>
      </c>
      <c r="B2439" s="183" t="s">
        <v>1054</v>
      </c>
      <c r="C2439">
        <v>100075180159</v>
      </c>
      <c r="D2439">
        <v>724</v>
      </c>
      <c r="E2439">
        <v>0</v>
      </c>
      <c r="F2439">
        <v>0</v>
      </c>
      <c r="G2439">
        <v>0</v>
      </c>
      <c r="H2439">
        <v>724</v>
      </c>
      <c r="I2439" s="183" t="s">
        <v>1055</v>
      </c>
      <c r="J2439" s="183" t="s">
        <v>12066</v>
      </c>
      <c r="K2439">
        <v>0</v>
      </c>
      <c r="L2439">
        <v>724</v>
      </c>
    </row>
    <row r="2440" spans="1:12">
      <c r="A2440" s="183" t="s">
        <v>823</v>
      </c>
      <c r="B2440" s="183" t="s">
        <v>1054</v>
      </c>
      <c r="C2440">
        <v>150125180159</v>
      </c>
      <c r="D2440">
        <v>246</v>
      </c>
      <c r="E2440">
        <v>0</v>
      </c>
      <c r="F2440">
        <v>0</v>
      </c>
      <c r="G2440">
        <v>0</v>
      </c>
      <c r="H2440">
        <v>246</v>
      </c>
      <c r="I2440" s="183" t="s">
        <v>1055</v>
      </c>
      <c r="J2440" s="183" t="s">
        <v>12048</v>
      </c>
      <c r="K2440">
        <v>0</v>
      </c>
      <c r="L2440">
        <v>246</v>
      </c>
    </row>
    <row r="2441" spans="1:12">
      <c r="A2441" s="183" t="s">
        <v>824</v>
      </c>
      <c r="B2441" s="183" t="s">
        <v>1054</v>
      </c>
      <c r="C2441">
        <v>250125180159</v>
      </c>
      <c r="D2441">
        <v>33</v>
      </c>
      <c r="E2441">
        <v>0</v>
      </c>
      <c r="F2441">
        <v>0</v>
      </c>
      <c r="G2441">
        <v>0</v>
      </c>
      <c r="H2441">
        <v>33</v>
      </c>
      <c r="I2441" s="183" t="s">
        <v>1055</v>
      </c>
      <c r="J2441" s="183" t="s">
        <v>12092</v>
      </c>
      <c r="K2441">
        <v>0</v>
      </c>
      <c r="L2441">
        <v>33</v>
      </c>
    </row>
    <row r="2442" spans="1:12">
      <c r="A2442" s="183" t="s">
        <v>3210</v>
      </c>
      <c r="B2442" s="183" t="s">
        <v>1054</v>
      </c>
      <c r="C2442">
        <v>350125180159</v>
      </c>
      <c r="D2442">
        <v>189</v>
      </c>
      <c r="E2442">
        <v>0</v>
      </c>
      <c r="F2442">
        <v>0</v>
      </c>
      <c r="G2442">
        <v>0</v>
      </c>
      <c r="H2442">
        <v>189</v>
      </c>
      <c r="I2442" s="183" t="s">
        <v>1055</v>
      </c>
      <c r="J2442" s="183" t="s">
        <v>12081</v>
      </c>
      <c r="K2442">
        <v>0</v>
      </c>
      <c r="L2442">
        <v>189</v>
      </c>
    </row>
    <row r="2443" spans="1:12">
      <c r="A2443" s="183" t="s">
        <v>825</v>
      </c>
      <c r="B2443" s="183" t="s">
        <v>1054</v>
      </c>
      <c r="C2443">
        <v>375075180159</v>
      </c>
      <c r="D2443">
        <v>65</v>
      </c>
      <c r="E2443">
        <v>0</v>
      </c>
      <c r="F2443">
        <v>0</v>
      </c>
      <c r="G2443">
        <v>0</v>
      </c>
      <c r="H2443">
        <v>65</v>
      </c>
      <c r="I2443" s="183" t="s">
        <v>1055</v>
      </c>
      <c r="J2443" s="183" t="s">
        <v>12095</v>
      </c>
      <c r="K2443">
        <v>0</v>
      </c>
      <c r="L2443">
        <v>65</v>
      </c>
    </row>
    <row r="2444" spans="1:12">
      <c r="A2444" s="183" t="s">
        <v>826</v>
      </c>
      <c r="B2444" s="183" t="s">
        <v>1054</v>
      </c>
      <c r="C2444">
        <v>450075180159</v>
      </c>
      <c r="D2444">
        <v>37</v>
      </c>
      <c r="E2444">
        <v>0</v>
      </c>
      <c r="F2444">
        <v>0</v>
      </c>
      <c r="G2444">
        <v>0</v>
      </c>
      <c r="H2444">
        <v>37</v>
      </c>
      <c r="I2444" s="183" t="s">
        <v>1055</v>
      </c>
      <c r="J2444" s="183" t="s">
        <v>12092</v>
      </c>
      <c r="K2444">
        <v>0</v>
      </c>
      <c r="L2444">
        <v>37</v>
      </c>
    </row>
    <row r="2445" spans="1:12">
      <c r="A2445" s="183" t="s">
        <v>827</v>
      </c>
      <c r="B2445" s="183" t="s">
        <v>1054</v>
      </c>
      <c r="C2445">
        <v>500125180159</v>
      </c>
      <c r="D2445">
        <v>318</v>
      </c>
      <c r="E2445">
        <v>0</v>
      </c>
      <c r="F2445">
        <v>0</v>
      </c>
      <c r="G2445">
        <v>0</v>
      </c>
      <c r="H2445">
        <v>318</v>
      </c>
      <c r="I2445" s="183" t="s">
        <v>1055</v>
      </c>
      <c r="J2445" s="183" t="s">
        <v>12067</v>
      </c>
      <c r="K2445">
        <v>0</v>
      </c>
      <c r="L2445">
        <v>318</v>
      </c>
    </row>
    <row r="2446" spans="1:12">
      <c r="A2446" s="183" t="s">
        <v>6241</v>
      </c>
      <c r="B2446" s="183" t="s">
        <v>1054</v>
      </c>
      <c r="C2446">
        <v>550125180159</v>
      </c>
      <c r="D2446">
        <v>158</v>
      </c>
      <c r="E2446">
        <v>0</v>
      </c>
      <c r="F2446">
        <v>0</v>
      </c>
      <c r="G2446">
        <v>0</v>
      </c>
      <c r="H2446">
        <v>158</v>
      </c>
      <c r="I2446" s="183" t="s">
        <v>1055</v>
      </c>
      <c r="J2446" s="183" t="s">
        <v>12087</v>
      </c>
      <c r="K2446">
        <v>0</v>
      </c>
      <c r="L2446">
        <v>158</v>
      </c>
    </row>
    <row r="2447" spans="1:12">
      <c r="A2447" s="183" t="s">
        <v>828</v>
      </c>
      <c r="B2447" s="183" t="s">
        <v>1054</v>
      </c>
      <c r="C2447">
        <v>600075180159</v>
      </c>
      <c r="D2447">
        <v>94</v>
      </c>
      <c r="E2447">
        <v>0</v>
      </c>
      <c r="F2447">
        <v>0</v>
      </c>
      <c r="G2447">
        <v>0</v>
      </c>
      <c r="H2447">
        <v>94</v>
      </c>
      <c r="I2447" s="183" t="s">
        <v>1055</v>
      </c>
      <c r="J2447" s="183" t="s">
        <v>12053</v>
      </c>
      <c r="K2447">
        <v>0</v>
      </c>
      <c r="L2447">
        <v>94</v>
      </c>
    </row>
    <row r="2448" spans="1:12">
      <c r="A2448" s="183" t="s">
        <v>829</v>
      </c>
      <c r="B2448" s="183" t="s">
        <v>1054</v>
      </c>
      <c r="C2448">
        <v>800075180159</v>
      </c>
      <c r="D2448">
        <v>293</v>
      </c>
      <c r="E2448">
        <v>0</v>
      </c>
      <c r="F2448">
        <v>0</v>
      </c>
      <c r="G2448">
        <v>0</v>
      </c>
      <c r="H2448">
        <v>293</v>
      </c>
      <c r="I2448" s="183" t="s">
        <v>1055</v>
      </c>
      <c r="J2448" s="183" t="s">
        <v>12066</v>
      </c>
      <c r="K2448">
        <v>0</v>
      </c>
      <c r="L2448">
        <v>293</v>
      </c>
    </row>
    <row r="2449" spans="1:12">
      <c r="A2449" s="183" t="s">
        <v>830</v>
      </c>
      <c r="B2449" s="183" t="s">
        <v>1054</v>
      </c>
      <c r="C2449">
        <v>850075180159</v>
      </c>
      <c r="D2449">
        <v>605</v>
      </c>
      <c r="E2449">
        <v>0</v>
      </c>
      <c r="F2449">
        <v>0</v>
      </c>
      <c r="G2449">
        <v>0</v>
      </c>
      <c r="H2449">
        <v>605</v>
      </c>
      <c r="I2449" s="183" t="s">
        <v>1055</v>
      </c>
      <c r="J2449" s="183" t="s">
        <v>12059</v>
      </c>
      <c r="K2449">
        <v>0</v>
      </c>
      <c r="L2449">
        <v>605</v>
      </c>
    </row>
    <row r="2450" spans="1:12">
      <c r="A2450" s="183" t="s">
        <v>1153</v>
      </c>
      <c r="B2450" s="183" t="s">
        <v>1154</v>
      </c>
      <c r="C2450">
        <v>64000213</v>
      </c>
      <c r="D2450">
        <v>327</v>
      </c>
      <c r="E2450">
        <v>0</v>
      </c>
      <c r="F2450">
        <v>2</v>
      </c>
      <c r="G2450">
        <v>0</v>
      </c>
      <c r="H2450">
        <v>329</v>
      </c>
      <c r="I2450" s="183" t="s">
        <v>1000</v>
      </c>
      <c r="J2450" s="183" t="s">
        <v>12093</v>
      </c>
      <c r="K2450">
        <v>0</v>
      </c>
      <c r="L2450">
        <v>327</v>
      </c>
    </row>
    <row r="2451" spans="1:12">
      <c r="A2451" s="183" t="s">
        <v>3841</v>
      </c>
      <c r="B2451" s="183" t="s">
        <v>3842</v>
      </c>
      <c r="C2451">
        <v>64000224</v>
      </c>
      <c r="D2451">
        <v>125</v>
      </c>
      <c r="E2451">
        <v>0</v>
      </c>
      <c r="F2451">
        <v>0</v>
      </c>
      <c r="G2451">
        <v>0</v>
      </c>
      <c r="H2451">
        <v>125</v>
      </c>
      <c r="I2451" s="183" t="s">
        <v>1000</v>
      </c>
      <c r="J2451" s="183" t="s">
        <v>12094</v>
      </c>
      <c r="K2451">
        <v>0</v>
      </c>
      <c r="L2451">
        <v>125</v>
      </c>
    </row>
    <row r="2452" spans="1:12">
      <c r="A2452" s="183" t="s">
        <v>12006</v>
      </c>
      <c r="B2452" s="183" t="s">
        <v>12007</v>
      </c>
      <c r="C2452">
        <v>64001228</v>
      </c>
      <c r="D2452">
        <v>541</v>
      </c>
      <c r="E2452">
        <v>0</v>
      </c>
      <c r="F2452">
        <v>0</v>
      </c>
      <c r="G2452">
        <v>0</v>
      </c>
      <c r="H2452">
        <v>541</v>
      </c>
      <c r="I2452" s="183" t="s">
        <v>1062</v>
      </c>
      <c r="J2452" s="183" t="s">
        <v>12048</v>
      </c>
      <c r="K2452">
        <v>0</v>
      </c>
      <c r="L2452">
        <v>541</v>
      </c>
    </row>
    <row r="2453" spans="1:12">
      <c r="A2453" s="183" t="s">
        <v>6217</v>
      </c>
      <c r="B2453" s="183" t="s">
        <v>6218</v>
      </c>
      <c r="C2453">
        <v>64003219</v>
      </c>
      <c r="D2453">
        <v>647</v>
      </c>
      <c r="E2453">
        <v>0</v>
      </c>
      <c r="F2453">
        <v>0</v>
      </c>
      <c r="G2453">
        <v>0</v>
      </c>
      <c r="H2453">
        <v>647</v>
      </c>
      <c r="I2453" s="183" t="s">
        <v>1012</v>
      </c>
      <c r="J2453" s="183" t="s">
        <v>12092</v>
      </c>
      <c r="K2453">
        <v>0</v>
      </c>
      <c r="L2453">
        <v>647</v>
      </c>
    </row>
    <row r="2454" spans="1:12">
      <c r="A2454" s="183" t="s">
        <v>2969</v>
      </c>
      <c r="B2454" s="183" t="s">
        <v>2970</v>
      </c>
      <c r="C2454">
        <v>11860203</v>
      </c>
      <c r="D2454">
        <v>326</v>
      </c>
      <c r="E2454">
        <v>0</v>
      </c>
      <c r="F2454">
        <v>0</v>
      </c>
      <c r="G2454">
        <v>0</v>
      </c>
      <c r="H2454">
        <v>326</v>
      </c>
      <c r="I2454" s="183" t="s">
        <v>1052</v>
      </c>
      <c r="J2454" s="183" t="s">
        <v>12060</v>
      </c>
      <c r="K2454">
        <v>0</v>
      </c>
      <c r="L2454">
        <v>326</v>
      </c>
    </row>
    <row r="2455" spans="1:12">
      <c r="A2455" s="183" t="s">
        <v>5881</v>
      </c>
      <c r="B2455" s="183" t="s">
        <v>5882</v>
      </c>
      <c r="C2455">
        <v>11860210</v>
      </c>
      <c r="D2455">
        <v>288</v>
      </c>
      <c r="E2455">
        <v>0</v>
      </c>
      <c r="F2455">
        <v>0</v>
      </c>
      <c r="G2455">
        <v>0</v>
      </c>
      <c r="H2455">
        <v>288</v>
      </c>
      <c r="I2455" s="183" t="s">
        <v>1052</v>
      </c>
      <c r="J2455" s="183" t="s">
        <v>12067</v>
      </c>
      <c r="K2455">
        <v>0</v>
      </c>
      <c r="L2455">
        <v>288</v>
      </c>
    </row>
    <row r="2456" spans="1:12">
      <c r="A2456" s="183" t="s">
        <v>3110</v>
      </c>
      <c r="B2456" s="183" t="s">
        <v>3111</v>
      </c>
      <c r="C2456">
        <v>11860211</v>
      </c>
      <c r="D2456">
        <v>187</v>
      </c>
      <c r="E2456">
        <v>0</v>
      </c>
      <c r="F2456">
        <v>0</v>
      </c>
      <c r="G2456">
        <v>0</v>
      </c>
      <c r="H2456">
        <v>187</v>
      </c>
      <c r="I2456" s="183" t="s">
        <v>1052</v>
      </c>
      <c r="J2456" s="183" t="s">
        <v>12067</v>
      </c>
      <c r="K2456">
        <v>0</v>
      </c>
      <c r="L2456">
        <v>187</v>
      </c>
    </row>
    <row r="2457" spans="1:12">
      <c r="A2457" s="183" t="s">
        <v>251</v>
      </c>
      <c r="B2457" s="183" t="s">
        <v>1227</v>
      </c>
      <c r="C2457">
        <v>7200202</v>
      </c>
      <c r="D2457">
        <v>76</v>
      </c>
      <c r="E2457">
        <v>0</v>
      </c>
      <c r="F2457">
        <v>0</v>
      </c>
      <c r="G2457">
        <v>0</v>
      </c>
      <c r="H2457">
        <v>76</v>
      </c>
      <c r="I2457" s="183" t="s">
        <v>1228</v>
      </c>
      <c r="J2457" s="183" t="s">
        <v>12092</v>
      </c>
      <c r="K2457">
        <v>0</v>
      </c>
      <c r="L2457">
        <v>76</v>
      </c>
    </row>
    <row r="2458" spans="1:12">
      <c r="A2458" s="183" t="s">
        <v>265</v>
      </c>
      <c r="B2458" s="183" t="s">
        <v>266</v>
      </c>
      <c r="C2458">
        <v>2290206</v>
      </c>
      <c r="D2458">
        <v>131</v>
      </c>
      <c r="E2458">
        <v>0</v>
      </c>
      <c r="F2458">
        <v>7</v>
      </c>
      <c r="G2458">
        <v>0</v>
      </c>
      <c r="H2458">
        <v>138</v>
      </c>
      <c r="I2458" s="183" t="s">
        <v>1053</v>
      </c>
      <c r="J2458" s="183" t="s">
        <v>12060</v>
      </c>
      <c r="K2458">
        <v>0</v>
      </c>
      <c r="L2458">
        <v>131</v>
      </c>
    </row>
    <row r="2459" spans="1:12">
      <c r="A2459" s="183" t="s">
        <v>725</v>
      </c>
      <c r="B2459" s="183" t="s">
        <v>729</v>
      </c>
      <c r="C2459">
        <v>2290214</v>
      </c>
      <c r="D2459">
        <v>6</v>
      </c>
      <c r="E2459">
        <v>0</v>
      </c>
      <c r="F2459">
        <v>0</v>
      </c>
      <c r="G2459">
        <v>0</v>
      </c>
      <c r="H2459">
        <v>6</v>
      </c>
      <c r="I2459" s="183" t="s">
        <v>1053</v>
      </c>
      <c r="J2459" s="183" t="s">
        <v>12091</v>
      </c>
      <c r="K2459">
        <v>0</v>
      </c>
      <c r="L2459">
        <v>6</v>
      </c>
    </row>
    <row r="2460" spans="1:12">
      <c r="A2460" s="183" t="s">
        <v>281</v>
      </c>
      <c r="B2460" s="183" t="s">
        <v>282</v>
      </c>
      <c r="C2460">
        <v>2290228</v>
      </c>
      <c r="D2460">
        <v>14</v>
      </c>
      <c r="E2460">
        <v>0</v>
      </c>
      <c r="F2460">
        <v>0</v>
      </c>
      <c r="G2460">
        <v>0</v>
      </c>
      <c r="H2460">
        <v>14</v>
      </c>
      <c r="I2460" s="183" t="s">
        <v>1053</v>
      </c>
      <c r="J2460" s="183" t="s">
        <v>12056</v>
      </c>
      <c r="K2460">
        <v>0</v>
      </c>
      <c r="L2460">
        <v>14</v>
      </c>
    </row>
    <row r="2461" spans="1:12">
      <c r="A2461" s="183" t="s">
        <v>1124</v>
      </c>
      <c r="B2461" s="183" t="s">
        <v>1125</v>
      </c>
      <c r="C2461">
        <v>63009216</v>
      </c>
      <c r="D2461">
        <v>553</v>
      </c>
      <c r="E2461">
        <v>0</v>
      </c>
      <c r="F2461">
        <v>0</v>
      </c>
      <c r="G2461">
        <v>0</v>
      </c>
      <c r="H2461">
        <v>553</v>
      </c>
      <c r="I2461" s="183" t="s">
        <v>1093</v>
      </c>
      <c r="J2461" s="183" t="s">
        <v>12063</v>
      </c>
      <c r="K2461">
        <v>0</v>
      </c>
      <c r="L2461">
        <v>553</v>
      </c>
    </row>
    <row r="2462" spans="1:12">
      <c r="A2462" s="183" t="s">
        <v>6104</v>
      </c>
      <c r="B2462" s="183" t="s">
        <v>6105</v>
      </c>
      <c r="C2462">
        <v>63009218</v>
      </c>
      <c r="D2462">
        <v>148</v>
      </c>
      <c r="E2462">
        <v>0</v>
      </c>
      <c r="F2462">
        <v>0</v>
      </c>
      <c r="G2462">
        <v>0</v>
      </c>
      <c r="H2462">
        <v>148</v>
      </c>
      <c r="I2462" s="183" t="s">
        <v>1093</v>
      </c>
      <c r="J2462" s="183" t="s">
        <v>12056</v>
      </c>
      <c r="K2462">
        <v>0</v>
      </c>
      <c r="L2462">
        <v>148</v>
      </c>
    </row>
    <row r="2463" spans="1:12">
      <c r="A2463" s="183" t="s">
        <v>1315</v>
      </c>
      <c r="B2463" s="183" t="s">
        <v>1316</v>
      </c>
      <c r="C2463">
        <v>63009226</v>
      </c>
      <c r="D2463">
        <v>118</v>
      </c>
      <c r="E2463">
        <v>0</v>
      </c>
      <c r="F2463">
        <v>0</v>
      </c>
      <c r="G2463">
        <v>0</v>
      </c>
      <c r="H2463">
        <v>118</v>
      </c>
      <c r="I2463" s="183" t="s">
        <v>1093</v>
      </c>
      <c r="J2463" s="183" t="s">
        <v>12061</v>
      </c>
      <c r="K2463">
        <v>0</v>
      </c>
      <c r="L2463">
        <v>118</v>
      </c>
    </row>
    <row r="2464" spans="1:12">
      <c r="A2464" s="183" t="s">
        <v>1481</v>
      </c>
      <c r="B2464" s="183" t="s">
        <v>1482</v>
      </c>
      <c r="C2464">
        <v>63009232</v>
      </c>
      <c r="D2464">
        <v>511</v>
      </c>
      <c r="E2464">
        <v>0</v>
      </c>
      <c r="F2464">
        <v>0</v>
      </c>
      <c r="G2464">
        <v>0</v>
      </c>
      <c r="H2464">
        <v>511</v>
      </c>
      <c r="I2464" s="183" t="s">
        <v>1093</v>
      </c>
      <c r="J2464" s="183" t="s">
        <v>12094</v>
      </c>
      <c r="K2464">
        <v>0</v>
      </c>
      <c r="L2464">
        <v>511</v>
      </c>
    </row>
    <row r="2465" spans="1:12">
      <c r="A2465" s="183" t="s">
        <v>1225</v>
      </c>
      <c r="B2465" s="183" t="s">
        <v>1226</v>
      </c>
      <c r="C2465">
        <v>63009238</v>
      </c>
      <c r="D2465">
        <v>414</v>
      </c>
      <c r="E2465">
        <v>0</v>
      </c>
      <c r="F2465">
        <v>0</v>
      </c>
      <c r="G2465">
        <v>0</v>
      </c>
      <c r="H2465">
        <v>414</v>
      </c>
      <c r="I2465" s="183" t="s">
        <v>1093</v>
      </c>
      <c r="J2465" s="183" t="s">
        <v>12054</v>
      </c>
      <c r="K2465">
        <v>0</v>
      </c>
      <c r="L2465">
        <v>414</v>
      </c>
    </row>
    <row r="2466" spans="1:12">
      <c r="A2466" s="183" t="s">
        <v>1127</v>
      </c>
      <c r="B2466" s="183" t="s">
        <v>1128</v>
      </c>
      <c r="C2466">
        <v>63009240</v>
      </c>
      <c r="D2466">
        <v>165</v>
      </c>
      <c r="E2466">
        <v>0</v>
      </c>
      <c r="F2466">
        <v>0</v>
      </c>
      <c r="G2466">
        <v>0</v>
      </c>
      <c r="H2466">
        <v>165</v>
      </c>
      <c r="I2466" s="183" t="s">
        <v>1093</v>
      </c>
      <c r="J2466" s="183" t="s">
        <v>12085</v>
      </c>
      <c r="K2466">
        <v>0</v>
      </c>
      <c r="L2466">
        <v>165</v>
      </c>
    </row>
    <row r="2467" spans="1:12">
      <c r="A2467" s="183" t="s">
        <v>7489</v>
      </c>
      <c r="B2467" s="183" t="s">
        <v>1064</v>
      </c>
      <c r="C2467">
        <v>50175180</v>
      </c>
      <c r="D2467">
        <v>254</v>
      </c>
      <c r="E2467">
        <v>0</v>
      </c>
      <c r="F2467">
        <v>0</v>
      </c>
      <c r="G2467">
        <v>0</v>
      </c>
      <c r="H2467">
        <v>254</v>
      </c>
      <c r="I2467" s="183" t="s">
        <v>1065</v>
      </c>
      <c r="J2467" s="183" t="s">
        <v>12093</v>
      </c>
      <c r="K2467">
        <v>0</v>
      </c>
      <c r="L2467">
        <v>254</v>
      </c>
    </row>
    <row r="2468" spans="1:12">
      <c r="A2468" s="183" t="s">
        <v>3105</v>
      </c>
      <c r="B2468" s="183" t="s">
        <v>1064</v>
      </c>
      <c r="C2468">
        <v>125075180</v>
      </c>
      <c r="D2468">
        <v>530</v>
      </c>
      <c r="E2468">
        <v>0</v>
      </c>
      <c r="F2468">
        <v>0</v>
      </c>
      <c r="G2468">
        <v>0</v>
      </c>
      <c r="H2468">
        <v>530</v>
      </c>
      <c r="I2468" s="183" t="s">
        <v>1065</v>
      </c>
      <c r="J2468" s="183" t="s">
        <v>12053</v>
      </c>
      <c r="K2468">
        <v>0</v>
      </c>
      <c r="L2468">
        <v>530</v>
      </c>
    </row>
    <row r="2469" spans="1:12">
      <c r="A2469" s="183" t="s">
        <v>5040</v>
      </c>
      <c r="B2469" s="183" t="s">
        <v>1064</v>
      </c>
      <c r="C2469">
        <v>150075180</v>
      </c>
      <c r="D2469">
        <v>142</v>
      </c>
      <c r="E2469">
        <v>0</v>
      </c>
      <c r="F2469">
        <v>0</v>
      </c>
      <c r="G2469">
        <v>0</v>
      </c>
      <c r="H2469">
        <v>142</v>
      </c>
      <c r="I2469" s="183" t="s">
        <v>1065</v>
      </c>
      <c r="J2469" s="183" t="s">
        <v>12094</v>
      </c>
      <c r="K2469">
        <v>0</v>
      </c>
      <c r="L2469">
        <v>142</v>
      </c>
    </row>
    <row r="2470" spans="1:12">
      <c r="A2470" s="183" t="s">
        <v>3078</v>
      </c>
      <c r="B2470" s="183" t="s">
        <v>1064</v>
      </c>
      <c r="C2470">
        <v>225125180</v>
      </c>
      <c r="D2470">
        <v>188</v>
      </c>
      <c r="E2470">
        <v>0</v>
      </c>
      <c r="F2470">
        <v>0</v>
      </c>
      <c r="G2470">
        <v>0</v>
      </c>
      <c r="H2470">
        <v>188</v>
      </c>
      <c r="I2470" s="183" t="s">
        <v>1065</v>
      </c>
      <c r="J2470" s="183" t="s">
        <v>12057</v>
      </c>
      <c r="K2470">
        <v>0</v>
      </c>
      <c r="L2470">
        <v>188</v>
      </c>
    </row>
    <row r="2471" spans="1:12">
      <c r="A2471" s="183" t="s">
        <v>6330</v>
      </c>
      <c r="B2471" s="183" t="s">
        <v>1064</v>
      </c>
      <c r="C2471">
        <v>250175180</v>
      </c>
      <c r="D2471">
        <v>342</v>
      </c>
      <c r="E2471">
        <v>0</v>
      </c>
      <c r="F2471">
        <v>0</v>
      </c>
      <c r="G2471">
        <v>0</v>
      </c>
      <c r="H2471">
        <v>342</v>
      </c>
      <c r="I2471" s="183" t="s">
        <v>1065</v>
      </c>
      <c r="J2471" s="183" t="s">
        <v>12094</v>
      </c>
      <c r="K2471">
        <v>0</v>
      </c>
      <c r="L2471">
        <v>342</v>
      </c>
    </row>
    <row r="2472" spans="1:12">
      <c r="A2472" s="183" t="s">
        <v>4979</v>
      </c>
      <c r="B2472" s="183" t="s">
        <v>1064</v>
      </c>
      <c r="C2472">
        <v>275125180</v>
      </c>
      <c r="D2472">
        <v>399</v>
      </c>
      <c r="E2472">
        <v>0</v>
      </c>
      <c r="F2472">
        <v>0</v>
      </c>
      <c r="G2472">
        <v>0</v>
      </c>
      <c r="H2472">
        <v>399</v>
      </c>
      <c r="I2472" s="183" t="s">
        <v>1065</v>
      </c>
      <c r="J2472" s="183" t="s">
        <v>12081</v>
      </c>
      <c r="K2472">
        <v>0</v>
      </c>
      <c r="L2472">
        <v>399</v>
      </c>
    </row>
    <row r="2473" spans="1:12">
      <c r="A2473" s="183" t="s">
        <v>6333</v>
      </c>
      <c r="B2473" s="183" t="s">
        <v>1064</v>
      </c>
      <c r="C2473">
        <v>350175180</v>
      </c>
      <c r="D2473">
        <v>74</v>
      </c>
      <c r="E2473">
        <v>0</v>
      </c>
      <c r="F2473">
        <v>0</v>
      </c>
      <c r="G2473">
        <v>0</v>
      </c>
      <c r="H2473">
        <v>74</v>
      </c>
      <c r="I2473" s="183" t="s">
        <v>1065</v>
      </c>
      <c r="J2473" s="183" t="s">
        <v>12054</v>
      </c>
      <c r="K2473">
        <v>0</v>
      </c>
      <c r="L2473">
        <v>74</v>
      </c>
    </row>
    <row r="2474" spans="1:12">
      <c r="A2474" s="183" t="s">
        <v>5221</v>
      </c>
      <c r="B2474" s="183" t="s">
        <v>1064</v>
      </c>
      <c r="C2474">
        <v>425175180</v>
      </c>
      <c r="D2474">
        <v>130</v>
      </c>
      <c r="E2474">
        <v>0</v>
      </c>
      <c r="F2474">
        <v>0</v>
      </c>
      <c r="G2474">
        <v>0</v>
      </c>
      <c r="H2474">
        <v>130</v>
      </c>
      <c r="I2474" s="183" t="s">
        <v>1065</v>
      </c>
      <c r="J2474" s="183" t="s">
        <v>12059</v>
      </c>
      <c r="K2474">
        <v>0</v>
      </c>
      <c r="L2474">
        <v>130</v>
      </c>
    </row>
    <row r="2475" spans="1:12">
      <c r="A2475" s="183" t="s">
        <v>4772</v>
      </c>
      <c r="B2475" s="183" t="s">
        <v>1064</v>
      </c>
      <c r="C2475">
        <v>450075180</v>
      </c>
      <c r="D2475">
        <v>224</v>
      </c>
      <c r="E2475">
        <v>0</v>
      </c>
      <c r="F2475">
        <v>0</v>
      </c>
      <c r="G2475">
        <v>0</v>
      </c>
      <c r="H2475">
        <v>224</v>
      </c>
      <c r="I2475" s="183" t="s">
        <v>1065</v>
      </c>
      <c r="J2475" s="183" t="s">
        <v>12081</v>
      </c>
      <c r="K2475">
        <v>0</v>
      </c>
      <c r="L2475">
        <v>224</v>
      </c>
    </row>
    <row r="2476" spans="1:12">
      <c r="A2476" s="183" t="s">
        <v>298</v>
      </c>
      <c r="B2476" s="183" t="s">
        <v>1064</v>
      </c>
      <c r="C2476">
        <v>475075180</v>
      </c>
      <c r="D2476">
        <v>415</v>
      </c>
      <c r="E2476">
        <v>0</v>
      </c>
      <c r="F2476">
        <v>0</v>
      </c>
      <c r="G2476">
        <v>0</v>
      </c>
      <c r="H2476">
        <v>415</v>
      </c>
      <c r="I2476" s="183" t="s">
        <v>1065</v>
      </c>
      <c r="J2476" s="183" t="s">
        <v>12093</v>
      </c>
      <c r="K2476">
        <v>0</v>
      </c>
      <c r="L2476">
        <v>415</v>
      </c>
    </row>
    <row r="2477" spans="1:12">
      <c r="A2477" s="183" t="s">
        <v>5226</v>
      </c>
      <c r="B2477" s="183" t="s">
        <v>1064</v>
      </c>
      <c r="C2477">
        <v>500175180</v>
      </c>
      <c r="D2477">
        <v>260</v>
      </c>
      <c r="E2477">
        <v>0</v>
      </c>
      <c r="F2477">
        <v>0</v>
      </c>
      <c r="G2477">
        <v>0</v>
      </c>
      <c r="H2477">
        <v>260</v>
      </c>
      <c r="I2477" s="183" t="s">
        <v>1065</v>
      </c>
      <c r="J2477" s="183" t="s">
        <v>12093</v>
      </c>
      <c r="K2477">
        <v>0</v>
      </c>
      <c r="L2477">
        <v>260</v>
      </c>
    </row>
    <row r="2478" spans="1:12">
      <c r="A2478" s="183" t="s">
        <v>5207</v>
      </c>
      <c r="B2478" s="183" t="s">
        <v>1064</v>
      </c>
      <c r="C2478">
        <v>700075180</v>
      </c>
      <c r="D2478">
        <v>374</v>
      </c>
      <c r="E2478">
        <v>0</v>
      </c>
      <c r="F2478">
        <v>0</v>
      </c>
      <c r="G2478">
        <v>0</v>
      </c>
      <c r="H2478">
        <v>374</v>
      </c>
      <c r="I2478" s="183" t="s">
        <v>1065</v>
      </c>
      <c r="J2478" s="183" t="s">
        <v>12054</v>
      </c>
      <c r="K2478">
        <v>0</v>
      </c>
      <c r="L2478">
        <v>374</v>
      </c>
    </row>
    <row r="2479" spans="1:12">
      <c r="A2479" s="183" t="s">
        <v>1479</v>
      </c>
      <c r="B2479" s="183" t="s">
        <v>1032</v>
      </c>
      <c r="C2479">
        <v>73860209</v>
      </c>
      <c r="D2479">
        <v>150</v>
      </c>
      <c r="E2479">
        <v>0</v>
      </c>
      <c r="F2479">
        <v>0</v>
      </c>
      <c r="G2479">
        <v>0</v>
      </c>
      <c r="H2479">
        <v>150</v>
      </c>
      <c r="I2479" s="183" t="s">
        <v>1033</v>
      </c>
      <c r="J2479" s="183" t="s">
        <v>12059</v>
      </c>
      <c r="K2479">
        <v>0</v>
      </c>
      <c r="L2479">
        <v>150</v>
      </c>
    </row>
    <row r="2480" spans="1:12">
      <c r="A2480" s="183" t="s">
        <v>6301</v>
      </c>
      <c r="B2480" s="183" t="s">
        <v>1032</v>
      </c>
      <c r="C2480">
        <v>73860210</v>
      </c>
      <c r="D2480">
        <v>219</v>
      </c>
      <c r="E2480">
        <v>0</v>
      </c>
      <c r="F2480">
        <v>1</v>
      </c>
      <c r="G2480">
        <v>0</v>
      </c>
      <c r="H2480">
        <v>220</v>
      </c>
      <c r="I2480" s="183" t="s">
        <v>1033</v>
      </c>
      <c r="J2480" s="183" t="s">
        <v>12085</v>
      </c>
      <c r="K2480">
        <v>0</v>
      </c>
      <c r="L2480">
        <v>219</v>
      </c>
    </row>
    <row r="2481" spans="1:12">
      <c r="A2481" s="183" t="s">
        <v>1129</v>
      </c>
      <c r="B2481" s="183" t="s">
        <v>1032</v>
      </c>
      <c r="C2481">
        <v>73860217</v>
      </c>
      <c r="D2481">
        <v>130</v>
      </c>
      <c r="E2481">
        <v>0</v>
      </c>
      <c r="F2481">
        <v>0</v>
      </c>
      <c r="G2481">
        <v>0</v>
      </c>
      <c r="H2481">
        <v>130</v>
      </c>
      <c r="I2481" s="183" t="s">
        <v>1033</v>
      </c>
      <c r="J2481" s="183" t="s">
        <v>12095</v>
      </c>
      <c r="K2481">
        <v>0</v>
      </c>
      <c r="L2481">
        <v>130</v>
      </c>
    </row>
    <row r="2482" spans="1:12">
      <c r="A2482" s="183" t="s">
        <v>1215</v>
      </c>
      <c r="B2482" s="183" t="s">
        <v>1032</v>
      </c>
      <c r="C2482">
        <v>73860218</v>
      </c>
      <c r="D2482">
        <v>105</v>
      </c>
      <c r="E2482">
        <v>0</v>
      </c>
      <c r="F2482">
        <v>0</v>
      </c>
      <c r="G2482">
        <v>0</v>
      </c>
      <c r="H2482">
        <v>105</v>
      </c>
      <c r="I2482" s="183" t="s">
        <v>1033</v>
      </c>
      <c r="J2482" s="183" t="s">
        <v>12058</v>
      </c>
      <c r="K2482">
        <v>0</v>
      </c>
      <c r="L2482">
        <v>105</v>
      </c>
    </row>
    <row r="2483" spans="1:12">
      <c r="A2483" s="183" t="s">
        <v>2466</v>
      </c>
      <c r="B2483" s="183" t="s">
        <v>2467</v>
      </c>
      <c r="C2483">
        <v>73860240</v>
      </c>
      <c r="D2483">
        <v>135</v>
      </c>
      <c r="E2483">
        <v>0</v>
      </c>
      <c r="F2483">
        <v>3</v>
      </c>
      <c r="G2483">
        <v>0</v>
      </c>
      <c r="H2483">
        <v>138</v>
      </c>
      <c r="I2483" s="183" t="s">
        <v>1033</v>
      </c>
      <c r="J2483" s="183" t="s">
        <v>12048</v>
      </c>
      <c r="K2483">
        <v>0</v>
      </c>
      <c r="L2483">
        <v>135</v>
      </c>
    </row>
    <row r="2484" spans="1:12">
      <c r="A2484" s="183" t="s">
        <v>303</v>
      </c>
      <c r="B2484" s="183" t="s">
        <v>1060</v>
      </c>
      <c r="C2484">
        <v>75180154</v>
      </c>
      <c r="D2484">
        <v>237</v>
      </c>
      <c r="E2484">
        <v>0</v>
      </c>
      <c r="F2484">
        <v>0</v>
      </c>
      <c r="G2484">
        <v>0</v>
      </c>
      <c r="H2484">
        <v>237</v>
      </c>
      <c r="I2484" s="183" t="s">
        <v>1061</v>
      </c>
      <c r="J2484" s="183" t="s">
        <v>12060</v>
      </c>
      <c r="K2484">
        <v>0</v>
      </c>
      <c r="L2484">
        <v>237</v>
      </c>
    </row>
    <row r="2485" spans="1:12">
      <c r="A2485" s="183" t="s">
        <v>307</v>
      </c>
      <c r="B2485" s="183" t="s">
        <v>1060</v>
      </c>
      <c r="C2485">
        <v>50175180154</v>
      </c>
      <c r="D2485">
        <v>130</v>
      </c>
      <c r="E2485">
        <v>0</v>
      </c>
      <c r="F2485">
        <v>0</v>
      </c>
      <c r="G2485">
        <v>0</v>
      </c>
      <c r="H2485">
        <v>130</v>
      </c>
      <c r="I2485" s="183" t="s">
        <v>1061</v>
      </c>
      <c r="J2485" s="183" t="s">
        <v>12060</v>
      </c>
      <c r="K2485">
        <v>0</v>
      </c>
      <c r="L2485">
        <v>130</v>
      </c>
    </row>
    <row r="2486" spans="1:12">
      <c r="A2486" s="183" t="s">
        <v>331</v>
      </c>
      <c r="B2486" s="183" t="s">
        <v>1060</v>
      </c>
      <c r="C2486">
        <v>275125180154</v>
      </c>
      <c r="D2486">
        <v>272</v>
      </c>
      <c r="E2486">
        <v>0</v>
      </c>
      <c r="F2486">
        <v>0</v>
      </c>
      <c r="G2486">
        <v>0</v>
      </c>
      <c r="H2486">
        <v>272</v>
      </c>
      <c r="I2486" s="183" t="s">
        <v>1061</v>
      </c>
      <c r="J2486" s="183" t="s">
        <v>12067</v>
      </c>
      <c r="K2486">
        <v>0</v>
      </c>
      <c r="L2486">
        <v>272</v>
      </c>
    </row>
    <row r="2487" spans="1:12">
      <c r="A2487" s="183" t="s">
        <v>3217</v>
      </c>
      <c r="B2487" s="183" t="s">
        <v>1060</v>
      </c>
      <c r="C2487">
        <v>375075180154</v>
      </c>
      <c r="D2487">
        <v>607</v>
      </c>
      <c r="E2487">
        <v>0</v>
      </c>
      <c r="F2487">
        <v>0</v>
      </c>
      <c r="G2487">
        <v>0</v>
      </c>
      <c r="H2487">
        <v>607</v>
      </c>
      <c r="I2487" s="183" t="s">
        <v>1061</v>
      </c>
      <c r="J2487" s="183" t="s">
        <v>12059</v>
      </c>
      <c r="K2487">
        <v>0</v>
      </c>
      <c r="L2487">
        <v>607</v>
      </c>
    </row>
    <row r="2488" spans="1:12">
      <c r="A2488" s="183" t="s">
        <v>344</v>
      </c>
      <c r="B2488" s="183" t="s">
        <v>1060</v>
      </c>
      <c r="C2488">
        <v>575075180154</v>
      </c>
      <c r="D2488">
        <v>412</v>
      </c>
      <c r="E2488">
        <v>0</v>
      </c>
      <c r="F2488">
        <v>0</v>
      </c>
      <c r="G2488">
        <v>0</v>
      </c>
      <c r="H2488">
        <v>412</v>
      </c>
      <c r="I2488" s="183" t="s">
        <v>1061</v>
      </c>
      <c r="J2488" s="183" t="s">
        <v>12053</v>
      </c>
      <c r="K2488">
        <v>0</v>
      </c>
      <c r="L2488">
        <v>412</v>
      </c>
    </row>
    <row r="2489" spans="1:12">
      <c r="A2489" s="183" t="s">
        <v>5694</v>
      </c>
      <c r="B2489" s="183" t="s">
        <v>5695</v>
      </c>
      <c r="C2489">
        <v>90178212</v>
      </c>
      <c r="D2489">
        <v>524</v>
      </c>
      <c r="E2489">
        <v>0</v>
      </c>
      <c r="F2489">
        <v>0</v>
      </c>
      <c r="G2489">
        <v>0</v>
      </c>
      <c r="H2489">
        <v>524</v>
      </c>
      <c r="I2489" s="183" t="s">
        <v>990</v>
      </c>
      <c r="J2489" s="183" t="s">
        <v>12054</v>
      </c>
      <c r="K2489">
        <v>0</v>
      </c>
      <c r="L2489">
        <v>524</v>
      </c>
    </row>
    <row r="2490" spans="1:12">
      <c r="A2490" s="183" t="s">
        <v>3829</v>
      </c>
      <c r="B2490" s="183" t="s">
        <v>3830</v>
      </c>
      <c r="C2490">
        <v>90178220</v>
      </c>
      <c r="D2490">
        <v>562</v>
      </c>
      <c r="E2490">
        <v>0</v>
      </c>
      <c r="F2490">
        <v>0</v>
      </c>
      <c r="G2490">
        <v>0</v>
      </c>
      <c r="H2490">
        <v>562</v>
      </c>
      <c r="I2490" s="183" t="s">
        <v>990</v>
      </c>
      <c r="J2490" s="183" t="s">
        <v>12057</v>
      </c>
      <c r="K2490">
        <v>0</v>
      </c>
      <c r="L2490">
        <v>562</v>
      </c>
    </row>
    <row r="2491" spans="1:12">
      <c r="A2491" s="183" t="s">
        <v>710</v>
      </c>
      <c r="B2491" s="183" t="s">
        <v>1126</v>
      </c>
      <c r="C2491">
        <v>90178221</v>
      </c>
      <c r="D2491">
        <v>223</v>
      </c>
      <c r="E2491">
        <v>0</v>
      </c>
      <c r="F2491">
        <v>0</v>
      </c>
      <c r="G2491">
        <v>0</v>
      </c>
      <c r="H2491">
        <v>223</v>
      </c>
      <c r="I2491" s="183" t="s">
        <v>990</v>
      </c>
      <c r="J2491" s="183" t="s">
        <v>12081</v>
      </c>
      <c r="K2491">
        <v>0</v>
      </c>
      <c r="L2491">
        <v>223</v>
      </c>
    </row>
    <row r="2492" spans="1:12">
      <c r="A2492" s="183" t="s">
        <v>712</v>
      </c>
      <c r="B2492" s="183" t="s">
        <v>1218</v>
      </c>
      <c r="C2492">
        <v>90178230</v>
      </c>
      <c r="D2492">
        <v>269</v>
      </c>
      <c r="E2492">
        <v>0</v>
      </c>
      <c r="F2492">
        <v>0</v>
      </c>
      <c r="G2492">
        <v>0</v>
      </c>
      <c r="H2492">
        <v>269</v>
      </c>
      <c r="I2492" s="183" t="s">
        <v>990</v>
      </c>
      <c r="J2492" s="183" t="s">
        <v>12057</v>
      </c>
      <c r="K2492">
        <v>0</v>
      </c>
      <c r="L2492">
        <v>269</v>
      </c>
    </row>
    <row r="2493" spans="1:12">
      <c r="A2493" s="183" t="s">
        <v>3108</v>
      </c>
      <c r="B2493" s="183" t="s">
        <v>3109</v>
      </c>
      <c r="C2493">
        <v>90178232</v>
      </c>
      <c r="D2493">
        <v>315</v>
      </c>
      <c r="E2493">
        <v>0</v>
      </c>
      <c r="F2493">
        <v>0</v>
      </c>
      <c r="G2493">
        <v>0</v>
      </c>
      <c r="H2493">
        <v>315</v>
      </c>
      <c r="I2493" s="183" t="s">
        <v>990</v>
      </c>
      <c r="J2493" s="183" t="s">
        <v>12057</v>
      </c>
      <c r="K2493">
        <v>0</v>
      </c>
      <c r="L2493">
        <v>315</v>
      </c>
    </row>
    <row r="2494" spans="1:12">
      <c r="A2494" s="183" t="s">
        <v>4619</v>
      </c>
      <c r="B2494" s="183" t="s">
        <v>4620</v>
      </c>
      <c r="C2494">
        <v>90178236</v>
      </c>
      <c r="D2494">
        <v>296</v>
      </c>
      <c r="E2494">
        <v>0</v>
      </c>
      <c r="F2494">
        <v>0</v>
      </c>
      <c r="G2494">
        <v>0</v>
      </c>
      <c r="H2494">
        <v>296</v>
      </c>
      <c r="I2494" s="183" t="s">
        <v>990</v>
      </c>
      <c r="J2494" s="183" t="s">
        <v>12056</v>
      </c>
      <c r="K2494">
        <v>0</v>
      </c>
      <c r="L2494">
        <v>296</v>
      </c>
    </row>
    <row r="2495" spans="1:12">
      <c r="A2495" s="183" t="s">
        <v>696</v>
      </c>
      <c r="B2495" s="183" t="s">
        <v>1224</v>
      </c>
      <c r="C2495">
        <v>90189200</v>
      </c>
      <c r="D2495" s="501">
        <v>1024</v>
      </c>
      <c r="E2495">
        <v>0</v>
      </c>
      <c r="F2495">
        <v>0</v>
      </c>
      <c r="G2495">
        <v>0</v>
      </c>
      <c r="H2495" s="501">
        <v>1024</v>
      </c>
      <c r="I2495" s="183" t="s">
        <v>1025</v>
      </c>
      <c r="J2495" s="183" t="s">
        <v>12057</v>
      </c>
      <c r="K2495">
        <v>0</v>
      </c>
      <c r="L2495" s="501">
        <v>1024</v>
      </c>
    </row>
    <row r="2496" spans="1:12">
      <c r="A2496" s="183" t="s">
        <v>6237</v>
      </c>
      <c r="B2496" s="183" t="s">
        <v>6238</v>
      </c>
      <c r="C2496">
        <v>90189226</v>
      </c>
      <c r="D2496" s="501">
        <v>1297</v>
      </c>
      <c r="E2496">
        <v>0</v>
      </c>
      <c r="F2496">
        <v>0</v>
      </c>
      <c r="G2496">
        <v>0</v>
      </c>
      <c r="H2496" s="501">
        <v>1297</v>
      </c>
      <c r="I2496" s="183" t="s">
        <v>1025</v>
      </c>
      <c r="J2496" s="183" t="s">
        <v>12052</v>
      </c>
      <c r="K2496">
        <v>0</v>
      </c>
      <c r="L2496" s="501">
        <v>1297</v>
      </c>
    </row>
    <row r="2497" spans="1:12">
      <c r="A2497" s="183" t="s">
        <v>5222</v>
      </c>
      <c r="B2497" s="183" t="s">
        <v>1060</v>
      </c>
      <c r="C2497">
        <v>700125180154</v>
      </c>
      <c r="D2497">
        <v>169</v>
      </c>
      <c r="E2497">
        <v>0</v>
      </c>
      <c r="F2497">
        <v>0</v>
      </c>
      <c r="G2497">
        <v>0</v>
      </c>
      <c r="H2497">
        <v>169</v>
      </c>
      <c r="I2497" s="183" t="s">
        <v>1061</v>
      </c>
      <c r="J2497" s="183" t="s">
        <v>12053</v>
      </c>
      <c r="K2497">
        <v>0</v>
      </c>
      <c r="L2497">
        <v>169</v>
      </c>
    </row>
    <row r="2498" spans="1:12">
      <c r="A2498" s="183" t="s">
        <v>354</v>
      </c>
      <c r="B2498" s="183" t="s">
        <v>1060</v>
      </c>
      <c r="C2498">
        <v>850075180154</v>
      </c>
      <c r="D2498">
        <v>134</v>
      </c>
      <c r="E2498">
        <v>0</v>
      </c>
      <c r="F2498">
        <v>0</v>
      </c>
      <c r="G2498">
        <v>0</v>
      </c>
      <c r="H2498">
        <v>134</v>
      </c>
      <c r="I2498" s="183" t="s">
        <v>1061</v>
      </c>
      <c r="J2498" s="183" t="s">
        <v>12085</v>
      </c>
      <c r="K2498">
        <v>0</v>
      </c>
      <c r="L2498">
        <v>134</v>
      </c>
    </row>
    <row r="2499" spans="1:12">
      <c r="A2499" s="183" t="s">
        <v>357</v>
      </c>
      <c r="B2499" s="183" t="s">
        <v>1060</v>
      </c>
      <c r="C2499">
        <v>900075180154</v>
      </c>
      <c r="D2499">
        <v>242</v>
      </c>
      <c r="E2499">
        <v>0</v>
      </c>
      <c r="F2499">
        <v>0</v>
      </c>
      <c r="G2499">
        <v>0</v>
      </c>
      <c r="H2499">
        <v>242</v>
      </c>
      <c r="I2499" s="183" t="s">
        <v>1061</v>
      </c>
      <c r="J2499" s="183" t="s">
        <v>12087</v>
      </c>
      <c r="K2499">
        <v>0</v>
      </c>
      <c r="L2499">
        <v>242</v>
      </c>
    </row>
    <row r="2500" spans="1:12">
      <c r="A2500" s="183" t="s">
        <v>360</v>
      </c>
      <c r="B2500" s="183" t="s">
        <v>1187</v>
      </c>
      <c r="C2500">
        <v>90178203</v>
      </c>
      <c r="D2500">
        <v>121</v>
      </c>
      <c r="E2500">
        <v>0</v>
      </c>
      <c r="F2500">
        <v>0</v>
      </c>
      <c r="G2500">
        <v>0</v>
      </c>
      <c r="H2500">
        <v>121</v>
      </c>
      <c r="I2500" s="183" t="s">
        <v>990</v>
      </c>
      <c r="J2500" s="183" t="s">
        <v>12056</v>
      </c>
      <c r="K2500">
        <v>0</v>
      </c>
      <c r="L2500">
        <v>121</v>
      </c>
    </row>
    <row r="2501" spans="1:12">
      <c r="A2501" s="183" t="s">
        <v>5100</v>
      </c>
      <c r="B2501" s="183" t="s">
        <v>5101</v>
      </c>
      <c r="C2501">
        <v>90178211</v>
      </c>
      <c r="D2501">
        <v>650</v>
      </c>
      <c r="E2501">
        <v>0</v>
      </c>
      <c r="F2501">
        <v>0</v>
      </c>
      <c r="G2501">
        <v>0</v>
      </c>
      <c r="H2501">
        <v>650</v>
      </c>
      <c r="I2501" s="183" t="s">
        <v>990</v>
      </c>
      <c r="J2501" s="183" t="s">
        <v>12052</v>
      </c>
      <c r="K2501">
        <v>0</v>
      </c>
      <c r="L2501">
        <v>650</v>
      </c>
    </row>
    <row r="2502" spans="1:12">
      <c r="A2502" s="183" t="s">
        <v>5140</v>
      </c>
      <c r="B2502" s="183" t="s">
        <v>5141</v>
      </c>
      <c r="C2502">
        <v>90178217</v>
      </c>
      <c r="D2502">
        <v>375</v>
      </c>
      <c r="E2502">
        <v>0</v>
      </c>
      <c r="F2502">
        <v>0</v>
      </c>
      <c r="G2502">
        <v>0</v>
      </c>
      <c r="H2502">
        <v>375</v>
      </c>
      <c r="I2502" s="183" t="s">
        <v>990</v>
      </c>
      <c r="J2502" s="183" t="s">
        <v>12056</v>
      </c>
      <c r="K2502">
        <v>0</v>
      </c>
      <c r="L2502">
        <v>375</v>
      </c>
    </row>
    <row r="2503" spans="1:12">
      <c r="A2503" s="183" t="s">
        <v>5043</v>
      </c>
      <c r="B2503" s="183" t="s">
        <v>5044</v>
      </c>
      <c r="C2503">
        <v>90178219</v>
      </c>
      <c r="D2503">
        <v>537</v>
      </c>
      <c r="E2503">
        <v>0</v>
      </c>
      <c r="F2503">
        <v>0</v>
      </c>
      <c r="G2503">
        <v>0</v>
      </c>
      <c r="H2503">
        <v>537</v>
      </c>
      <c r="I2503" s="183" t="s">
        <v>990</v>
      </c>
      <c r="J2503" s="183" t="s">
        <v>12093</v>
      </c>
      <c r="K2503">
        <v>0</v>
      </c>
      <c r="L2503">
        <v>537</v>
      </c>
    </row>
    <row r="2504" spans="1:12">
      <c r="A2504" s="183" t="s">
        <v>4525</v>
      </c>
      <c r="B2504" s="183" t="s">
        <v>4526</v>
      </c>
      <c r="C2504">
        <v>90178222</v>
      </c>
      <c r="D2504">
        <v>516</v>
      </c>
      <c r="E2504">
        <v>0</v>
      </c>
      <c r="F2504">
        <v>0</v>
      </c>
      <c r="G2504">
        <v>0</v>
      </c>
      <c r="H2504">
        <v>516</v>
      </c>
      <c r="I2504" s="183" t="s">
        <v>990</v>
      </c>
      <c r="J2504" s="183" t="s">
        <v>12060</v>
      </c>
      <c r="K2504">
        <v>0</v>
      </c>
      <c r="L2504">
        <v>516</v>
      </c>
    </row>
    <row r="2505" spans="1:12">
      <c r="A2505" s="183" t="s">
        <v>3873</v>
      </c>
      <c r="B2505" s="183" t="s">
        <v>3874</v>
      </c>
      <c r="C2505">
        <v>90178226</v>
      </c>
      <c r="D2505">
        <v>422</v>
      </c>
      <c r="E2505">
        <v>0</v>
      </c>
      <c r="F2505">
        <v>0</v>
      </c>
      <c r="G2505">
        <v>0</v>
      </c>
      <c r="H2505">
        <v>422</v>
      </c>
      <c r="I2505" s="183" t="s">
        <v>990</v>
      </c>
      <c r="J2505" s="183" t="s">
        <v>12048</v>
      </c>
      <c r="K2505">
        <v>0</v>
      </c>
      <c r="L2505">
        <v>422</v>
      </c>
    </row>
    <row r="2506" spans="1:12">
      <c r="A2506" s="183" t="s">
        <v>713</v>
      </c>
      <c r="B2506" s="183" t="s">
        <v>1102</v>
      </c>
      <c r="C2506">
        <v>90178234</v>
      </c>
      <c r="D2506">
        <v>316</v>
      </c>
      <c r="E2506">
        <v>0</v>
      </c>
      <c r="F2506">
        <v>0</v>
      </c>
      <c r="G2506">
        <v>0</v>
      </c>
      <c r="H2506">
        <v>316</v>
      </c>
      <c r="I2506" s="183" t="s">
        <v>990</v>
      </c>
      <c r="J2506" s="183" t="s">
        <v>12052</v>
      </c>
      <c r="K2506">
        <v>0</v>
      </c>
      <c r="L2506">
        <v>316</v>
      </c>
    </row>
    <row r="2507" spans="1:12">
      <c r="A2507" s="183" t="s">
        <v>4621</v>
      </c>
      <c r="B2507" s="183" t="s">
        <v>4622</v>
      </c>
      <c r="C2507">
        <v>90178240</v>
      </c>
      <c r="D2507">
        <v>188</v>
      </c>
      <c r="E2507">
        <v>0</v>
      </c>
      <c r="F2507">
        <v>0</v>
      </c>
      <c r="G2507">
        <v>0</v>
      </c>
      <c r="H2507">
        <v>188</v>
      </c>
      <c r="I2507" s="183" t="s">
        <v>990</v>
      </c>
      <c r="J2507" s="183" t="s">
        <v>12061</v>
      </c>
      <c r="K2507">
        <v>0</v>
      </c>
      <c r="L2507">
        <v>188</v>
      </c>
    </row>
    <row r="2508" spans="1:12">
      <c r="A2508" s="183" t="s">
        <v>4885</v>
      </c>
      <c r="B2508" s="183" t="s">
        <v>4886</v>
      </c>
      <c r="C2508">
        <v>90189221</v>
      </c>
      <c r="D2508">
        <v>410</v>
      </c>
      <c r="E2508">
        <v>0</v>
      </c>
      <c r="F2508">
        <v>1</v>
      </c>
      <c r="G2508">
        <v>0</v>
      </c>
      <c r="H2508">
        <v>411</v>
      </c>
      <c r="I2508" s="183" t="s">
        <v>1025</v>
      </c>
      <c r="J2508" s="183" t="s">
        <v>12094</v>
      </c>
      <c r="K2508">
        <v>0</v>
      </c>
      <c r="L2508">
        <v>410</v>
      </c>
    </row>
    <row r="2509" spans="1:12">
      <c r="A2509" s="183" t="s">
        <v>4899</v>
      </c>
      <c r="B2509" s="183" t="s">
        <v>4900</v>
      </c>
      <c r="C2509">
        <v>90189223</v>
      </c>
      <c r="D2509">
        <v>339</v>
      </c>
      <c r="E2509">
        <v>0</v>
      </c>
      <c r="F2509">
        <v>0</v>
      </c>
      <c r="G2509">
        <v>0</v>
      </c>
      <c r="H2509">
        <v>339</v>
      </c>
      <c r="I2509" s="183" t="s">
        <v>1025</v>
      </c>
      <c r="J2509" s="183" t="s">
        <v>12059</v>
      </c>
      <c r="K2509">
        <v>0</v>
      </c>
      <c r="L2509">
        <v>339</v>
      </c>
    </row>
    <row r="2510" spans="1:12">
      <c r="A2510" s="183" t="s">
        <v>703</v>
      </c>
      <c r="B2510" s="183" t="s">
        <v>1105</v>
      </c>
      <c r="C2510">
        <v>90179203</v>
      </c>
      <c r="D2510">
        <v>180</v>
      </c>
      <c r="E2510">
        <v>0</v>
      </c>
      <c r="F2510">
        <v>0</v>
      </c>
      <c r="G2510">
        <v>0</v>
      </c>
      <c r="H2510">
        <v>180</v>
      </c>
      <c r="I2510" s="183" t="s">
        <v>1067</v>
      </c>
      <c r="J2510" s="183" t="s">
        <v>12095</v>
      </c>
      <c r="K2510">
        <v>0</v>
      </c>
      <c r="L2510">
        <v>180</v>
      </c>
    </row>
    <row r="2511" spans="1:12">
      <c r="A2511" s="183" t="s">
        <v>704</v>
      </c>
      <c r="B2511" s="183" t="s">
        <v>1301</v>
      </c>
      <c r="C2511">
        <v>90179205</v>
      </c>
      <c r="D2511">
        <v>128</v>
      </c>
      <c r="E2511">
        <v>0</v>
      </c>
      <c r="F2511">
        <v>0</v>
      </c>
      <c r="G2511">
        <v>0</v>
      </c>
      <c r="H2511">
        <v>128</v>
      </c>
      <c r="I2511" s="183" t="s">
        <v>1067</v>
      </c>
      <c r="J2511" s="183" t="s">
        <v>12087</v>
      </c>
      <c r="K2511">
        <v>0</v>
      </c>
      <c r="L2511">
        <v>128</v>
      </c>
    </row>
    <row r="2512" spans="1:12">
      <c r="A2512" s="183" t="s">
        <v>4643</v>
      </c>
      <c r="B2512" s="183" t="s">
        <v>4644</v>
      </c>
      <c r="C2512">
        <v>90179210</v>
      </c>
      <c r="D2512">
        <v>324</v>
      </c>
      <c r="E2512">
        <v>0</v>
      </c>
      <c r="F2512">
        <v>0</v>
      </c>
      <c r="G2512">
        <v>0</v>
      </c>
      <c r="H2512">
        <v>324</v>
      </c>
      <c r="I2512" s="183" t="s">
        <v>1067</v>
      </c>
      <c r="J2512" s="183" t="s">
        <v>12094</v>
      </c>
      <c r="K2512">
        <v>0</v>
      </c>
      <c r="L2512">
        <v>324</v>
      </c>
    </row>
    <row r="2513" spans="1:12">
      <c r="A2513" s="183" t="s">
        <v>5181</v>
      </c>
      <c r="B2513" s="183" t="s">
        <v>5182</v>
      </c>
      <c r="C2513">
        <v>90179212</v>
      </c>
      <c r="D2513">
        <v>786</v>
      </c>
      <c r="E2513">
        <v>0</v>
      </c>
      <c r="F2513">
        <v>0</v>
      </c>
      <c r="G2513">
        <v>0</v>
      </c>
      <c r="H2513">
        <v>786</v>
      </c>
      <c r="I2513" s="183" t="s">
        <v>1067</v>
      </c>
      <c r="J2513" s="183" t="s">
        <v>12087</v>
      </c>
      <c r="K2513">
        <v>0</v>
      </c>
      <c r="L2513">
        <v>786</v>
      </c>
    </row>
    <row r="2514" spans="1:12">
      <c r="A2514" s="183" t="s">
        <v>4974</v>
      </c>
      <c r="B2514" s="183" t="s">
        <v>4975</v>
      </c>
      <c r="C2514">
        <v>90179240</v>
      </c>
      <c r="D2514">
        <v>205</v>
      </c>
      <c r="E2514">
        <v>0</v>
      </c>
      <c r="F2514">
        <v>0</v>
      </c>
      <c r="G2514">
        <v>0</v>
      </c>
      <c r="H2514">
        <v>205</v>
      </c>
      <c r="I2514" s="183" t="s">
        <v>1067</v>
      </c>
      <c r="J2514" s="183" t="s">
        <v>12050</v>
      </c>
      <c r="K2514">
        <v>0</v>
      </c>
      <c r="L2514">
        <v>205</v>
      </c>
    </row>
    <row r="2515" spans="1:12">
      <c r="A2515" s="183" t="s">
        <v>783</v>
      </c>
      <c r="B2515" s="183" t="s">
        <v>1054</v>
      </c>
      <c r="C2515">
        <v>75075180159</v>
      </c>
      <c r="D2515">
        <v>595</v>
      </c>
      <c r="E2515">
        <v>0</v>
      </c>
      <c r="F2515">
        <v>0</v>
      </c>
      <c r="G2515">
        <v>0</v>
      </c>
      <c r="H2515">
        <v>595</v>
      </c>
      <c r="I2515" s="183" t="s">
        <v>1055</v>
      </c>
      <c r="J2515" s="183" t="s">
        <v>12093</v>
      </c>
      <c r="K2515">
        <v>0</v>
      </c>
      <c r="L2515">
        <v>595</v>
      </c>
    </row>
    <row r="2516" spans="1:12">
      <c r="A2516" s="183" t="s">
        <v>784</v>
      </c>
      <c r="B2516" s="183" t="s">
        <v>1054</v>
      </c>
      <c r="C2516">
        <v>75175180159</v>
      </c>
      <c r="D2516">
        <v>242</v>
      </c>
      <c r="E2516">
        <v>0</v>
      </c>
      <c r="F2516">
        <v>0</v>
      </c>
      <c r="G2516">
        <v>0</v>
      </c>
      <c r="H2516">
        <v>242</v>
      </c>
      <c r="I2516" s="183" t="s">
        <v>1055</v>
      </c>
      <c r="J2516" s="183" t="s">
        <v>12095</v>
      </c>
      <c r="K2516">
        <v>0</v>
      </c>
      <c r="L2516">
        <v>242</v>
      </c>
    </row>
    <row r="2517" spans="1:12">
      <c r="A2517" s="183" t="s">
        <v>785</v>
      </c>
      <c r="B2517" s="183" t="s">
        <v>1054</v>
      </c>
      <c r="C2517">
        <v>175075180159</v>
      </c>
      <c r="D2517">
        <v>445</v>
      </c>
      <c r="E2517">
        <v>0</v>
      </c>
      <c r="F2517">
        <v>0</v>
      </c>
      <c r="G2517">
        <v>0</v>
      </c>
      <c r="H2517">
        <v>445</v>
      </c>
      <c r="I2517" s="183" t="s">
        <v>1055</v>
      </c>
      <c r="J2517" s="183" t="s">
        <v>12085</v>
      </c>
      <c r="K2517">
        <v>0</v>
      </c>
      <c r="L2517">
        <v>445</v>
      </c>
    </row>
    <row r="2518" spans="1:12">
      <c r="A2518" s="183" t="s">
        <v>786</v>
      </c>
      <c r="B2518" s="183" t="s">
        <v>1054</v>
      </c>
      <c r="C2518">
        <v>175125180159</v>
      </c>
      <c r="D2518">
        <v>50</v>
      </c>
      <c r="E2518">
        <v>0</v>
      </c>
      <c r="F2518">
        <v>0</v>
      </c>
      <c r="G2518">
        <v>0</v>
      </c>
      <c r="H2518">
        <v>50</v>
      </c>
      <c r="I2518" s="183" t="s">
        <v>1055</v>
      </c>
      <c r="J2518" s="183" t="s">
        <v>12085</v>
      </c>
      <c r="K2518">
        <v>0</v>
      </c>
      <c r="L2518">
        <v>50</v>
      </c>
    </row>
    <row r="2519" spans="1:12">
      <c r="A2519" s="183" t="s">
        <v>787</v>
      </c>
      <c r="B2519" s="183" t="s">
        <v>1054</v>
      </c>
      <c r="C2519">
        <v>200125180159</v>
      </c>
      <c r="D2519">
        <v>284</v>
      </c>
      <c r="E2519">
        <v>0</v>
      </c>
      <c r="F2519">
        <v>0</v>
      </c>
      <c r="G2519">
        <v>0</v>
      </c>
      <c r="H2519">
        <v>284</v>
      </c>
      <c r="I2519" s="183" t="s">
        <v>1055</v>
      </c>
      <c r="J2519" s="183" t="s">
        <v>12085</v>
      </c>
      <c r="K2519">
        <v>0</v>
      </c>
      <c r="L2519">
        <v>284</v>
      </c>
    </row>
    <row r="2520" spans="1:12">
      <c r="A2520" s="183" t="s">
        <v>788</v>
      </c>
      <c r="B2520" s="183" t="s">
        <v>1054</v>
      </c>
      <c r="C2520">
        <v>200175180159</v>
      </c>
      <c r="D2520">
        <v>37</v>
      </c>
      <c r="E2520">
        <v>0</v>
      </c>
      <c r="F2520">
        <v>0</v>
      </c>
      <c r="G2520">
        <v>0</v>
      </c>
      <c r="H2520">
        <v>37</v>
      </c>
      <c r="I2520" s="183" t="s">
        <v>1055</v>
      </c>
      <c r="J2520" s="183" t="s">
        <v>12095</v>
      </c>
      <c r="K2520">
        <v>0</v>
      </c>
      <c r="L2520">
        <v>37</v>
      </c>
    </row>
    <row r="2521" spans="1:12">
      <c r="A2521" s="183" t="s">
        <v>3196</v>
      </c>
      <c r="B2521" s="183" t="s">
        <v>1054</v>
      </c>
      <c r="C2521">
        <v>225175180159</v>
      </c>
      <c r="D2521">
        <v>34</v>
      </c>
      <c r="E2521">
        <v>0</v>
      </c>
      <c r="F2521">
        <v>0</v>
      </c>
      <c r="G2521">
        <v>0</v>
      </c>
      <c r="H2521">
        <v>34</v>
      </c>
      <c r="I2521" s="183" t="s">
        <v>1055</v>
      </c>
      <c r="J2521" s="183" t="s">
        <v>12087</v>
      </c>
      <c r="K2521">
        <v>0</v>
      </c>
      <c r="L2521">
        <v>34</v>
      </c>
    </row>
    <row r="2522" spans="1:12">
      <c r="A2522" s="183" t="s">
        <v>789</v>
      </c>
      <c r="B2522" s="183" t="s">
        <v>1054</v>
      </c>
      <c r="C2522">
        <v>250075180159</v>
      </c>
      <c r="D2522">
        <v>259</v>
      </c>
      <c r="E2522">
        <v>0</v>
      </c>
      <c r="F2522">
        <v>0</v>
      </c>
      <c r="G2522">
        <v>0</v>
      </c>
      <c r="H2522">
        <v>259</v>
      </c>
      <c r="I2522" s="183" t="s">
        <v>1055</v>
      </c>
      <c r="J2522" s="183" t="s">
        <v>12048</v>
      </c>
      <c r="K2522">
        <v>0</v>
      </c>
      <c r="L2522">
        <v>259</v>
      </c>
    </row>
    <row r="2523" spans="1:12">
      <c r="A2523" s="183" t="s">
        <v>3737</v>
      </c>
      <c r="B2523" s="183" t="s">
        <v>1054</v>
      </c>
      <c r="C2523">
        <v>400175180159</v>
      </c>
      <c r="D2523">
        <v>95</v>
      </c>
      <c r="E2523">
        <v>0</v>
      </c>
      <c r="F2523">
        <v>0</v>
      </c>
      <c r="G2523">
        <v>0</v>
      </c>
      <c r="H2523">
        <v>95</v>
      </c>
      <c r="I2523" s="183" t="s">
        <v>1055</v>
      </c>
      <c r="J2523" s="183" t="s">
        <v>12095</v>
      </c>
      <c r="K2523">
        <v>0</v>
      </c>
      <c r="L2523">
        <v>95</v>
      </c>
    </row>
    <row r="2524" spans="1:12">
      <c r="A2524" s="183" t="s">
        <v>4981</v>
      </c>
      <c r="B2524" s="183" t="s">
        <v>1054</v>
      </c>
      <c r="C2524">
        <v>425125180159</v>
      </c>
      <c r="D2524">
        <v>194</v>
      </c>
      <c r="E2524">
        <v>0</v>
      </c>
      <c r="F2524">
        <v>0</v>
      </c>
      <c r="G2524">
        <v>0</v>
      </c>
      <c r="H2524">
        <v>194</v>
      </c>
      <c r="I2524" s="183" t="s">
        <v>1055</v>
      </c>
      <c r="J2524" s="183" t="s">
        <v>12048</v>
      </c>
      <c r="K2524">
        <v>0</v>
      </c>
      <c r="L2524">
        <v>194</v>
      </c>
    </row>
    <row r="2525" spans="1:12">
      <c r="A2525" s="183" t="s">
        <v>790</v>
      </c>
      <c r="B2525" s="183" t="s">
        <v>1054</v>
      </c>
      <c r="C2525">
        <v>475125180159</v>
      </c>
      <c r="D2525">
        <v>155</v>
      </c>
      <c r="E2525">
        <v>0</v>
      </c>
      <c r="F2525">
        <v>0</v>
      </c>
      <c r="G2525">
        <v>0</v>
      </c>
      <c r="H2525">
        <v>155</v>
      </c>
      <c r="I2525" s="183" t="s">
        <v>1055</v>
      </c>
      <c r="J2525" s="183" t="s">
        <v>12093</v>
      </c>
      <c r="K2525">
        <v>0</v>
      </c>
      <c r="L2525">
        <v>155</v>
      </c>
    </row>
    <row r="2526" spans="1:12">
      <c r="A2526" s="183" t="s">
        <v>6851</v>
      </c>
      <c r="B2526" s="183" t="s">
        <v>1054</v>
      </c>
      <c r="C2526">
        <v>475175180159</v>
      </c>
      <c r="D2526">
        <v>64</v>
      </c>
      <c r="E2526">
        <v>0</v>
      </c>
      <c r="F2526">
        <v>0</v>
      </c>
      <c r="G2526">
        <v>0</v>
      </c>
      <c r="H2526">
        <v>64</v>
      </c>
      <c r="I2526" s="183" t="s">
        <v>1055</v>
      </c>
      <c r="J2526" s="183" t="s">
        <v>12048</v>
      </c>
      <c r="K2526">
        <v>0</v>
      </c>
      <c r="L2526">
        <v>64</v>
      </c>
    </row>
    <row r="2527" spans="1:12">
      <c r="A2527" s="183" t="s">
        <v>3215</v>
      </c>
      <c r="B2527" s="183" t="s">
        <v>1054</v>
      </c>
      <c r="C2527">
        <v>550175180159</v>
      </c>
      <c r="D2527">
        <v>83</v>
      </c>
      <c r="E2527">
        <v>0</v>
      </c>
      <c r="F2527">
        <v>0</v>
      </c>
      <c r="G2527">
        <v>0</v>
      </c>
      <c r="H2527">
        <v>83</v>
      </c>
      <c r="I2527" s="183" t="s">
        <v>1055</v>
      </c>
      <c r="J2527" s="183" t="s">
        <v>12091</v>
      </c>
      <c r="K2527">
        <v>0</v>
      </c>
      <c r="L2527">
        <v>83</v>
      </c>
    </row>
    <row r="2528" spans="1:12">
      <c r="A2528" s="183" t="s">
        <v>3199</v>
      </c>
      <c r="B2528" s="183" t="s">
        <v>1054</v>
      </c>
      <c r="C2528">
        <v>650175180159</v>
      </c>
      <c r="D2528">
        <v>158</v>
      </c>
      <c r="E2528">
        <v>0</v>
      </c>
      <c r="F2528">
        <v>0</v>
      </c>
      <c r="G2528">
        <v>0</v>
      </c>
      <c r="H2528">
        <v>158</v>
      </c>
      <c r="I2528" s="183" t="s">
        <v>1055</v>
      </c>
      <c r="J2528" s="183" t="s">
        <v>12092</v>
      </c>
      <c r="K2528">
        <v>0</v>
      </c>
      <c r="L2528">
        <v>158</v>
      </c>
    </row>
    <row r="2529" spans="1:12">
      <c r="A2529" s="183" t="s">
        <v>791</v>
      </c>
      <c r="B2529" s="183" t="s">
        <v>1054</v>
      </c>
      <c r="C2529">
        <v>700175180159</v>
      </c>
      <c r="D2529">
        <v>103</v>
      </c>
      <c r="E2529">
        <v>0</v>
      </c>
      <c r="F2529">
        <v>0</v>
      </c>
      <c r="G2529">
        <v>0</v>
      </c>
      <c r="H2529">
        <v>103</v>
      </c>
      <c r="I2529" s="183" t="s">
        <v>1055</v>
      </c>
      <c r="J2529" s="183" t="s">
        <v>12087</v>
      </c>
      <c r="K2529">
        <v>0</v>
      </c>
      <c r="L2529">
        <v>103</v>
      </c>
    </row>
    <row r="2530" spans="1:12">
      <c r="A2530" s="183" t="s">
        <v>792</v>
      </c>
      <c r="B2530" s="183" t="s">
        <v>1054</v>
      </c>
      <c r="C2530">
        <v>850175180159</v>
      </c>
      <c r="D2530">
        <v>137</v>
      </c>
      <c r="E2530">
        <v>0</v>
      </c>
      <c r="F2530">
        <v>0</v>
      </c>
      <c r="G2530">
        <v>0</v>
      </c>
      <c r="H2530">
        <v>137</v>
      </c>
      <c r="I2530" s="183" t="s">
        <v>1055</v>
      </c>
      <c r="J2530" s="183" t="s">
        <v>12054</v>
      </c>
      <c r="K2530">
        <v>0</v>
      </c>
      <c r="L2530">
        <v>137</v>
      </c>
    </row>
    <row r="2531" spans="1:12">
      <c r="A2531" s="183" t="s">
        <v>1094</v>
      </c>
      <c r="B2531" s="183" t="s">
        <v>1095</v>
      </c>
      <c r="C2531">
        <v>64000204</v>
      </c>
      <c r="D2531">
        <v>167</v>
      </c>
      <c r="E2531">
        <v>0</v>
      </c>
      <c r="F2531">
        <v>0</v>
      </c>
      <c r="G2531">
        <v>0</v>
      </c>
      <c r="H2531">
        <v>167</v>
      </c>
      <c r="I2531" s="183" t="s">
        <v>1000</v>
      </c>
      <c r="J2531" s="183" t="s">
        <v>12092</v>
      </c>
      <c r="K2531">
        <v>0</v>
      </c>
      <c r="L2531">
        <v>167</v>
      </c>
    </row>
    <row r="2532" spans="1:12">
      <c r="A2532" s="183" t="s">
        <v>1099</v>
      </c>
      <c r="B2532" s="183" t="s">
        <v>1100</v>
      </c>
      <c r="C2532">
        <v>64000208</v>
      </c>
      <c r="D2532">
        <v>189</v>
      </c>
      <c r="E2532">
        <v>0</v>
      </c>
      <c r="F2532">
        <v>0</v>
      </c>
      <c r="G2532">
        <v>0</v>
      </c>
      <c r="H2532">
        <v>189</v>
      </c>
      <c r="I2532" s="183" t="s">
        <v>1000</v>
      </c>
      <c r="J2532" s="183" t="s">
        <v>12048</v>
      </c>
      <c r="K2532">
        <v>0</v>
      </c>
      <c r="L2532">
        <v>189</v>
      </c>
    </row>
    <row r="2533" spans="1:12">
      <c r="A2533" s="183" t="s">
        <v>1106</v>
      </c>
      <c r="B2533" s="183" t="s">
        <v>1107</v>
      </c>
      <c r="C2533">
        <v>64000210</v>
      </c>
      <c r="D2533">
        <v>166</v>
      </c>
      <c r="E2533">
        <v>0</v>
      </c>
      <c r="F2533">
        <v>0</v>
      </c>
      <c r="G2533">
        <v>0</v>
      </c>
      <c r="H2533">
        <v>166</v>
      </c>
      <c r="I2533" s="183" t="s">
        <v>1000</v>
      </c>
      <c r="J2533" s="183" t="s">
        <v>12059</v>
      </c>
      <c r="K2533">
        <v>0</v>
      </c>
      <c r="L2533">
        <v>166</v>
      </c>
    </row>
    <row r="2534" spans="1:12">
      <c r="A2534" s="183" t="s">
        <v>6195</v>
      </c>
      <c r="B2534" s="183" t="s">
        <v>6196</v>
      </c>
      <c r="C2534">
        <v>64000217</v>
      </c>
      <c r="D2534">
        <v>230</v>
      </c>
      <c r="E2534">
        <v>0</v>
      </c>
      <c r="F2534">
        <v>0</v>
      </c>
      <c r="G2534">
        <v>0</v>
      </c>
      <c r="H2534">
        <v>230</v>
      </c>
      <c r="I2534" s="183" t="s">
        <v>1000</v>
      </c>
      <c r="J2534" s="183" t="s">
        <v>12067</v>
      </c>
      <c r="K2534">
        <v>0</v>
      </c>
      <c r="L2534">
        <v>230</v>
      </c>
    </row>
    <row r="2535" spans="1:12">
      <c r="A2535" s="183" t="s">
        <v>362</v>
      </c>
      <c r="B2535" s="183" t="s">
        <v>1188</v>
      </c>
      <c r="C2535">
        <v>63010203</v>
      </c>
      <c r="D2535">
        <v>115</v>
      </c>
      <c r="E2535">
        <v>0</v>
      </c>
      <c r="F2535">
        <v>1</v>
      </c>
      <c r="G2535">
        <v>0</v>
      </c>
      <c r="H2535">
        <v>116</v>
      </c>
      <c r="I2535" s="183" t="s">
        <v>988</v>
      </c>
      <c r="J2535" s="183" t="s">
        <v>12087</v>
      </c>
      <c r="K2535">
        <v>0</v>
      </c>
      <c r="L2535">
        <v>115</v>
      </c>
    </row>
    <row r="2536" spans="1:12">
      <c r="A2536" s="183" t="s">
        <v>364</v>
      </c>
      <c r="B2536" s="183" t="s">
        <v>1104</v>
      </c>
      <c r="C2536">
        <v>63010206</v>
      </c>
      <c r="D2536">
        <v>332</v>
      </c>
      <c r="E2536">
        <v>0</v>
      </c>
      <c r="F2536">
        <v>0</v>
      </c>
      <c r="G2536">
        <v>0</v>
      </c>
      <c r="H2536">
        <v>332</v>
      </c>
      <c r="I2536" s="183" t="s">
        <v>988</v>
      </c>
      <c r="J2536" s="183" t="s">
        <v>12091</v>
      </c>
      <c r="K2536">
        <v>0</v>
      </c>
      <c r="L2536">
        <v>332</v>
      </c>
    </row>
    <row r="2537" spans="1:12">
      <c r="A2537" s="183" t="s">
        <v>377</v>
      </c>
      <c r="B2537" s="183" t="s">
        <v>1300</v>
      </c>
      <c r="C2537">
        <v>63010232</v>
      </c>
      <c r="D2537">
        <v>129</v>
      </c>
      <c r="E2537">
        <v>0</v>
      </c>
      <c r="F2537">
        <v>0</v>
      </c>
      <c r="G2537">
        <v>0</v>
      </c>
      <c r="H2537">
        <v>129</v>
      </c>
      <c r="I2537" s="183" t="s">
        <v>988</v>
      </c>
      <c r="J2537" s="183" t="s">
        <v>12092</v>
      </c>
      <c r="K2537">
        <v>0</v>
      </c>
      <c r="L2537">
        <v>129</v>
      </c>
    </row>
    <row r="2538" spans="1:12">
      <c r="A2538" s="183" t="s">
        <v>5187</v>
      </c>
      <c r="B2538" s="183" t="s">
        <v>5188</v>
      </c>
      <c r="C2538">
        <v>90180200</v>
      </c>
      <c r="D2538">
        <v>341</v>
      </c>
      <c r="E2538">
        <v>0</v>
      </c>
      <c r="F2538">
        <v>0</v>
      </c>
      <c r="G2538">
        <v>0</v>
      </c>
      <c r="H2538">
        <v>341</v>
      </c>
      <c r="I2538" s="183" t="s">
        <v>1020</v>
      </c>
      <c r="J2538" s="183" t="s">
        <v>12081</v>
      </c>
      <c r="K2538">
        <v>0</v>
      </c>
      <c r="L2538">
        <v>341</v>
      </c>
    </row>
    <row r="2539" spans="1:12">
      <c r="A2539" s="183" t="s">
        <v>3120</v>
      </c>
      <c r="B2539" s="183" t="s">
        <v>3121</v>
      </c>
      <c r="C2539">
        <v>90180204</v>
      </c>
      <c r="D2539">
        <v>264</v>
      </c>
      <c r="E2539">
        <v>0</v>
      </c>
      <c r="F2539">
        <v>0</v>
      </c>
      <c r="G2539">
        <v>0</v>
      </c>
      <c r="H2539">
        <v>264</v>
      </c>
      <c r="I2539" s="183" t="s">
        <v>1020</v>
      </c>
      <c r="J2539" s="183" t="s">
        <v>12067</v>
      </c>
      <c r="K2539">
        <v>0</v>
      </c>
      <c r="L2539">
        <v>264</v>
      </c>
    </row>
    <row r="2540" spans="1:12">
      <c r="A2540" s="183" t="s">
        <v>4606</v>
      </c>
      <c r="B2540" s="183" t="s">
        <v>4607</v>
      </c>
      <c r="C2540">
        <v>90180219</v>
      </c>
      <c r="D2540">
        <v>356</v>
      </c>
      <c r="E2540">
        <v>0</v>
      </c>
      <c r="F2540">
        <v>0</v>
      </c>
      <c r="G2540">
        <v>0</v>
      </c>
      <c r="H2540">
        <v>356</v>
      </c>
      <c r="I2540" s="183" t="s">
        <v>1020</v>
      </c>
      <c r="J2540" s="183" t="s">
        <v>12093</v>
      </c>
      <c r="K2540">
        <v>0</v>
      </c>
      <c r="L2540">
        <v>356</v>
      </c>
    </row>
    <row r="2541" spans="1:12">
      <c r="A2541" s="183" t="s">
        <v>5098</v>
      </c>
      <c r="B2541" s="183" t="s">
        <v>5099</v>
      </c>
      <c r="C2541">
        <v>90180220</v>
      </c>
      <c r="D2541">
        <v>294</v>
      </c>
      <c r="E2541">
        <v>0</v>
      </c>
      <c r="F2541">
        <v>0</v>
      </c>
      <c r="G2541">
        <v>0</v>
      </c>
      <c r="H2541">
        <v>294</v>
      </c>
      <c r="I2541" s="183" t="s">
        <v>1020</v>
      </c>
      <c r="J2541" s="183" t="s">
        <v>12081</v>
      </c>
      <c r="K2541">
        <v>0</v>
      </c>
      <c r="L2541">
        <v>294</v>
      </c>
    </row>
    <row r="2542" spans="1:12">
      <c r="A2542" s="183" t="s">
        <v>315</v>
      </c>
      <c r="B2542" s="183" t="s">
        <v>1060</v>
      </c>
      <c r="C2542">
        <v>125125180154</v>
      </c>
      <c r="D2542">
        <v>433</v>
      </c>
      <c r="E2542">
        <v>0</v>
      </c>
      <c r="F2542">
        <v>0</v>
      </c>
      <c r="G2542">
        <v>0</v>
      </c>
      <c r="H2542">
        <v>433</v>
      </c>
      <c r="I2542" s="183" t="s">
        <v>1061</v>
      </c>
      <c r="J2542" s="183" t="s">
        <v>12060</v>
      </c>
      <c r="K2542">
        <v>0</v>
      </c>
      <c r="L2542">
        <v>433</v>
      </c>
    </row>
    <row r="2543" spans="1:12">
      <c r="A2543" s="183" t="s">
        <v>324</v>
      </c>
      <c r="B2543" s="183" t="s">
        <v>1060</v>
      </c>
      <c r="C2543">
        <v>200175180154</v>
      </c>
      <c r="D2543">
        <v>143</v>
      </c>
      <c r="E2543">
        <v>0</v>
      </c>
      <c r="F2543">
        <v>0</v>
      </c>
      <c r="G2543">
        <v>0</v>
      </c>
      <c r="H2543">
        <v>143</v>
      </c>
      <c r="I2543" s="183" t="s">
        <v>1061</v>
      </c>
      <c r="J2543" s="183" t="s">
        <v>12092</v>
      </c>
      <c r="K2543">
        <v>0</v>
      </c>
      <c r="L2543">
        <v>143</v>
      </c>
    </row>
    <row r="2544" spans="1:12">
      <c r="A2544" s="183" t="s">
        <v>3954</v>
      </c>
      <c r="B2544" s="183" t="s">
        <v>1060</v>
      </c>
      <c r="C2544">
        <v>275175180154</v>
      </c>
      <c r="D2544">
        <v>95</v>
      </c>
      <c r="E2544">
        <v>0</v>
      </c>
      <c r="F2544">
        <v>0</v>
      </c>
      <c r="G2544">
        <v>0</v>
      </c>
      <c r="H2544">
        <v>95</v>
      </c>
      <c r="I2544" s="183" t="s">
        <v>1061</v>
      </c>
      <c r="J2544" s="183" t="s">
        <v>12091</v>
      </c>
      <c r="K2544">
        <v>0</v>
      </c>
      <c r="L2544">
        <v>95</v>
      </c>
    </row>
    <row r="2545" spans="1:12">
      <c r="A2545" s="183" t="s">
        <v>6124</v>
      </c>
      <c r="B2545" s="183" t="s">
        <v>1060</v>
      </c>
      <c r="C2545">
        <v>350175180154</v>
      </c>
      <c r="D2545">
        <v>149</v>
      </c>
      <c r="E2545">
        <v>0</v>
      </c>
      <c r="F2545">
        <v>0</v>
      </c>
      <c r="G2545">
        <v>0</v>
      </c>
      <c r="H2545">
        <v>149</v>
      </c>
      <c r="I2545" s="183" t="s">
        <v>1061</v>
      </c>
      <c r="J2545" s="183" t="s">
        <v>12092</v>
      </c>
      <c r="K2545">
        <v>0</v>
      </c>
      <c r="L2545">
        <v>149</v>
      </c>
    </row>
    <row r="2546" spans="1:12">
      <c r="A2546" s="183" t="s">
        <v>3866</v>
      </c>
      <c r="B2546" s="183" t="s">
        <v>1060</v>
      </c>
      <c r="C2546">
        <v>425175180154</v>
      </c>
      <c r="D2546">
        <v>74</v>
      </c>
      <c r="E2546">
        <v>0</v>
      </c>
      <c r="F2546">
        <v>0</v>
      </c>
      <c r="G2546">
        <v>0</v>
      </c>
      <c r="H2546">
        <v>74</v>
      </c>
      <c r="I2546" s="183" t="s">
        <v>1061</v>
      </c>
      <c r="J2546" s="183" t="s">
        <v>12093</v>
      </c>
      <c r="K2546">
        <v>0</v>
      </c>
      <c r="L2546">
        <v>74</v>
      </c>
    </row>
    <row r="2547" spans="1:12">
      <c r="A2547" s="183" t="s">
        <v>4982</v>
      </c>
      <c r="B2547" s="183" t="s">
        <v>1060</v>
      </c>
      <c r="C2547">
        <v>450125180154</v>
      </c>
      <c r="D2547">
        <v>274</v>
      </c>
      <c r="E2547">
        <v>0</v>
      </c>
      <c r="F2547">
        <v>1</v>
      </c>
      <c r="G2547">
        <v>0</v>
      </c>
      <c r="H2547">
        <v>275</v>
      </c>
      <c r="I2547" s="183" t="s">
        <v>1061</v>
      </c>
      <c r="J2547" s="183" t="s">
        <v>12053</v>
      </c>
      <c r="K2547">
        <v>0</v>
      </c>
      <c r="L2547">
        <v>274</v>
      </c>
    </row>
    <row r="2548" spans="1:12">
      <c r="A2548" s="183" t="s">
        <v>6125</v>
      </c>
      <c r="B2548" s="183" t="s">
        <v>1060</v>
      </c>
      <c r="C2548">
        <v>550125180154</v>
      </c>
      <c r="D2548">
        <v>226</v>
      </c>
      <c r="E2548">
        <v>0</v>
      </c>
      <c r="F2548">
        <v>0</v>
      </c>
      <c r="G2548">
        <v>0</v>
      </c>
      <c r="H2548">
        <v>226</v>
      </c>
      <c r="I2548" s="183" t="s">
        <v>1061</v>
      </c>
      <c r="J2548" s="183" t="s">
        <v>12053</v>
      </c>
      <c r="K2548">
        <v>0</v>
      </c>
      <c r="L2548">
        <v>226</v>
      </c>
    </row>
    <row r="2549" spans="1:12">
      <c r="A2549" s="183" t="s">
        <v>6126</v>
      </c>
      <c r="B2549" s="183" t="s">
        <v>1060</v>
      </c>
      <c r="C2549">
        <v>650175180154</v>
      </c>
      <c r="D2549">
        <v>185</v>
      </c>
      <c r="E2549">
        <v>0</v>
      </c>
      <c r="F2549">
        <v>0</v>
      </c>
      <c r="G2549">
        <v>0</v>
      </c>
      <c r="H2549">
        <v>185</v>
      </c>
      <c r="I2549" s="183" t="s">
        <v>1061</v>
      </c>
      <c r="J2549" s="183" t="s">
        <v>12091</v>
      </c>
      <c r="K2549">
        <v>0</v>
      </c>
      <c r="L2549">
        <v>185</v>
      </c>
    </row>
    <row r="2550" spans="1:12">
      <c r="A2550" s="183" t="s">
        <v>6250</v>
      </c>
      <c r="B2550" s="183" t="s">
        <v>1060</v>
      </c>
      <c r="C2550">
        <v>750175180154</v>
      </c>
      <c r="D2550">
        <v>152</v>
      </c>
      <c r="E2550">
        <v>0</v>
      </c>
      <c r="F2550">
        <v>0</v>
      </c>
      <c r="G2550">
        <v>0</v>
      </c>
      <c r="H2550">
        <v>152</v>
      </c>
      <c r="I2550" s="183" t="s">
        <v>1061</v>
      </c>
      <c r="J2550" s="183" t="s">
        <v>12081</v>
      </c>
      <c r="K2550">
        <v>0</v>
      </c>
      <c r="L2550">
        <v>152</v>
      </c>
    </row>
    <row r="2551" spans="1:12">
      <c r="A2551" s="183" t="s">
        <v>4939</v>
      </c>
      <c r="B2551" s="183" t="s">
        <v>4940</v>
      </c>
      <c r="C2551">
        <v>90178200</v>
      </c>
      <c r="D2551">
        <v>382</v>
      </c>
      <c r="E2551">
        <v>0</v>
      </c>
      <c r="F2551">
        <v>0</v>
      </c>
      <c r="G2551">
        <v>0</v>
      </c>
      <c r="H2551">
        <v>382</v>
      </c>
      <c r="I2551" s="183" t="s">
        <v>990</v>
      </c>
      <c r="J2551" s="183" t="s">
        <v>12056</v>
      </c>
      <c r="K2551">
        <v>0</v>
      </c>
      <c r="L2551">
        <v>382</v>
      </c>
    </row>
    <row r="2552" spans="1:12">
      <c r="A2552" s="183" t="s">
        <v>359</v>
      </c>
      <c r="B2552" s="183" t="s">
        <v>1013</v>
      </c>
      <c r="C2552">
        <v>90178202</v>
      </c>
      <c r="D2552">
        <v>230</v>
      </c>
      <c r="E2552">
        <v>0</v>
      </c>
      <c r="F2552">
        <v>0</v>
      </c>
      <c r="G2552">
        <v>0</v>
      </c>
      <c r="H2552">
        <v>230</v>
      </c>
      <c r="I2552" s="183" t="s">
        <v>990</v>
      </c>
      <c r="J2552" s="183" t="s">
        <v>12092</v>
      </c>
      <c r="K2552">
        <v>0</v>
      </c>
      <c r="L2552">
        <v>230</v>
      </c>
    </row>
    <row r="2553" spans="1:12">
      <c r="A2553" s="183" t="s">
        <v>5146</v>
      </c>
      <c r="B2553" s="183" t="s">
        <v>5147</v>
      </c>
      <c r="C2553">
        <v>90178215</v>
      </c>
      <c r="D2553">
        <v>794</v>
      </c>
      <c r="E2553">
        <v>0</v>
      </c>
      <c r="F2553">
        <v>0</v>
      </c>
      <c r="G2553">
        <v>0</v>
      </c>
      <c r="H2553">
        <v>794</v>
      </c>
      <c r="I2553" s="183" t="s">
        <v>990</v>
      </c>
      <c r="J2553" s="183" t="s">
        <v>12060</v>
      </c>
      <c r="K2553">
        <v>0</v>
      </c>
      <c r="L2553">
        <v>794</v>
      </c>
    </row>
    <row r="2554" spans="1:12">
      <c r="A2554" s="183" t="s">
        <v>709</v>
      </c>
      <c r="B2554" s="183" t="s">
        <v>1028</v>
      </c>
      <c r="C2554">
        <v>90178218</v>
      </c>
      <c r="D2554">
        <v>387</v>
      </c>
      <c r="E2554">
        <v>0</v>
      </c>
      <c r="F2554">
        <v>0</v>
      </c>
      <c r="G2554">
        <v>0</v>
      </c>
      <c r="H2554">
        <v>387</v>
      </c>
      <c r="I2554" s="183" t="s">
        <v>990</v>
      </c>
      <c r="J2554" s="183" t="s">
        <v>12095</v>
      </c>
      <c r="K2554">
        <v>0</v>
      </c>
      <c r="L2554">
        <v>387</v>
      </c>
    </row>
    <row r="2555" spans="1:12">
      <c r="A2555" s="183" t="s">
        <v>711</v>
      </c>
      <c r="B2555" s="183" t="s">
        <v>989</v>
      </c>
      <c r="C2555">
        <v>90178223</v>
      </c>
      <c r="D2555">
        <v>106</v>
      </c>
      <c r="E2555">
        <v>0</v>
      </c>
      <c r="F2555">
        <v>0</v>
      </c>
      <c r="G2555">
        <v>0</v>
      </c>
      <c r="H2555">
        <v>106</v>
      </c>
      <c r="I2555" s="183" t="s">
        <v>990</v>
      </c>
      <c r="J2555" s="183" t="s">
        <v>12052</v>
      </c>
      <c r="K2555">
        <v>0</v>
      </c>
      <c r="L2555">
        <v>106</v>
      </c>
    </row>
    <row r="2556" spans="1:12">
      <c r="A2556" s="183" t="s">
        <v>361</v>
      </c>
      <c r="B2556" s="183" t="s">
        <v>2553</v>
      </c>
      <c r="C2556">
        <v>90178238</v>
      </c>
      <c r="D2556">
        <v>88</v>
      </c>
      <c r="E2556">
        <v>0</v>
      </c>
      <c r="F2556">
        <v>0</v>
      </c>
      <c r="G2556">
        <v>0</v>
      </c>
      <c r="H2556">
        <v>88</v>
      </c>
      <c r="I2556" s="183" t="s">
        <v>990</v>
      </c>
      <c r="J2556" s="183" t="s">
        <v>12055</v>
      </c>
      <c r="K2556">
        <v>0</v>
      </c>
      <c r="L2556">
        <v>88</v>
      </c>
    </row>
    <row r="2557" spans="1:12">
      <c r="A2557" s="183" t="s">
        <v>6312</v>
      </c>
      <c r="B2557" s="183" t="s">
        <v>6313</v>
      </c>
      <c r="C2557">
        <v>90189207</v>
      </c>
      <c r="D2557">
        <v>563</v>
      </c>
      <c r="E2557">
        <v>0</v>
      </c>
      <c r="F2557">
        <v>0</v>
      </c>
      <c r="G2557">
        <v>0</v>
      </c>
      <c r="H2557">
        <v>563</v>
      </c>
      <c r="I2557" s="183" t="s">
        <v>1025</v>
      </c>
      <c r="J2557" s="183" t="s">
        <v>12066</v>
      </c>
      <c r="K2557">
        <v>0</v>
      </c>
      <c r="L2557">
        <v>563</v>
      </c>
    </row>
    <row r="2558" spans="1:12">
      <c r="A2558" s="183" t="s">
        <v>6251</v>
      </c>
      <c r="B2558" s="183" t="s">
        <v>6252</v>
      </c>
      <c r="C2558">
        <v>90189209</v>
      </c>
      <c r="D2558" s="501">
        <v>1147</v>
      </c>
      <c r="E2558">
        <v>0</v>
      </c>
      <c r="F2558">
        <v>0</v>
      </c>
      <c r="G2558">
        <v>0</v>
      </c>
      <c r="H2558" s="501">
        <v>1147</v>
      </c>
      <c r="I2558" s="183" t="s">
        <v>1025</v>
      </c>
      <c r="J2558" s="183" t="s">
        <v>12091</v>
      </c>
      <c r="K2558">
        <v>0</v>
      </c>
      <c r="L2558" s="501">
        <v>1147</v>
      </c>
    </row>
    <row r="2559" spans="1:12">
      <c r="A2559" s="183" t="s">
        <v>6253</v>
      </c>
      <c r="B2559" s="183" t="s">
        <v>6254</v>
      </c>
      <c r="C2559">
        <v>90189210</v>
      </c>
      <c r="D2559" s="501">
        <v>1366</v>
      </c>
      <c r="E2559">
        <v>0</v>
      </c>
      <c r="F2559">
        <v>0</v>
      </c>
      <c r="G2559">
        <v>0</v>
      </c>
      <c r="H2559" s="501">
        <v>1366</v>
      </c>
      <c r="I2559" s="183" t="s">
        <v>1025</v>
      </c>
      <c r="J2559" s="183" t="s">
        <v>12055</v>
      </c>
      <c r="K2559">
        <v>0</v>
      </c>
      <c r="L2559" s="501">
        <v>1366</v>
      </c>
    </row>
    <row r="2560" spans="1:12">
      <c r="A2560" s="183" t="s">
        <v>701</v>
      </c>
      <c r="B2560" s="183" t="s">
        <v>1281</v>
      </c>
      <c r="C2560">
        <v>90189238</v>
      </c>
      <c r="D2560">
        <v>373</v>
      </c>
      <c r="E2560">
        <v>0</v>
      </c>
      <c r="F2560">
        <v>0</v>
      </c>
      <c r="G2560">
        <v>0</v>
      </c>
      <c r="H2560">
        <v>373</v>
      </c>
      <c r="I2560" s="183" t="s">
        <v>1025</v>
      </c>
      <c r="J2560" s="183" t="s">
        <v>12067</v>
      </c>
      <c r="K2560">
        <v>0</v>
      </c>
      <c r="L2560">
        <v>373</v>
      </c>
    </row>
    <row r="2561" spans="1:12">
      <c r="A2561" s="183" t="s">
        <v>6848</v>
      </c>
      <c r="B2561" s="183" t="s">
        <v>6849</v>
      </c>
      <c r="C2561">
        <v>90189240</v>
      </c>
      <c r="D2561">
        <v>298</v>
      </c>
      <c r="E2561">
        <v>0</v>
      </c>
      <c r="F2561">
        <v>0</v>
      </c>
      <c r="G2561">
        <v>0</v>
      </c>
      <c r="H2561">
        <v>298</v>
      </c>
      <c r="I2561" s="183" t="s">
        <v>1025</v>
      </c>
      <c r="J2561" s="183" t="s">
        <v>12048</v>
      </c>
      <c r="K2561">
        <v>0</v>
      </c>
      <c r="L2561">
        <v>298</v>
      </c>
    </row>
    <row r="2562" spans="1:12">
      <c r="A2562" s="183" t="s">
        <v>5090</v>
      </c>
      <c r="B2562" s="183" t="s">
        <v>5091</v>
      </c>
      <c r="C2562">
        <v>90179204</v>
      </c>
      <c r="D2562">
        <v>329</v>
      </c>
      <c r="E2562">
        <v>0</v>
      </c>
      <c r="F2562">
        <v>0</v>
      </c>
      <c r="G2562">
        <v>0</v>
      </c>
      <c r="H2562">
        <v>329</v>
      </c>
      <c r="I2562" s="183" t="s">
        <v>1067</v>
      </c>
      <c r="J2562" s="183" t="s">
        <v>12091</v>
      </c>
      <c r="K2562">
        <v>0</v>
      </c>
      <c r="L2562">
        <v>329</v>
      </c>
    </row>
    <row r="2563" spans="1:12">
      <c r="A2563" s="183" t="s">
        <v>5191</v>
      </c>
      <c r="B2563" s="183" t="s">
        <v>5192</v>
      </c>
      <c r="C2563">
        <v>90179215</v>
      </c>
      <c r="D2563">
        <v>779</v>
      </c>
      <c r="E2563">
        <v>0</v>
      </c>
      <c r="F2563">
        <v>0</v>
      </c>
      <c r="G2563">
        <v>0</v>
      </c>
      <c r="H2563">
        <v>779</v>
      </c>
      <c r="I2563" s="183" t="s">
        <v>1067</v>
      </c>
      <c r="J2563" s="183" t="s">
        <v>12056</v>
      </c>
      <c r="K2563">
        <v>0</v>
      </c>
      <c r="L2563">
        <v>779</v>
      </c>
    </row>
    <row r="2564" spans="1:12">
      <c r="A2564" s="183" t="s">
        <v>706</v>
      </c>
      <c r="B2564" s="183" t="s">
        <v>1739</v>
      </c>
      <c r="C2564">
        <v>90179238</v>
      </c>
      <c r="D2564">
        <v>148</v>
      </c>
      <c r="E2564">
        <v>0</v>
      </c>
      <c r="F2564">
        <v>0</v>
      </c>
      <c r="G2564">
        <v>0</v>
      </c>
      <c r="H2564">
        <v>148</v>
      </c>
      <c r="I2564" s="183" t="s">
        <v>1067</v>
      </c>
      <c r="J2564" s="183" t="s">
        <v>12055</v>
      </c>
      <c r="K2564">
        <v>0</v>
      </c>
      <c r="L2564">
        <v>148</v>
      </c>
    </row>
    <row r="2565" spans="1:12">
      <c r="A2565" s="183" t="s">
        <v>806</v>
      </c>
      <c r="B2565" s="183" t="s">
        <v>1054</v>
      </c>
      <c r="C2565">
        <v>125180159</v>
      </c>
      <c r="D2565">
        <v>18</v>
      </c>
      <c r="E2565">
        <v>0</v>
      </c>
      <c r="F2565">
        <v>0</v>
      </c>
      <c r="G2565">
        <v>0</v>
      </c>
      <c r="H2565">
        <v>18</v>
      </c>
      <c r="I2565" s="183" t="s">
        <v>1055</v>
      </c>
      <c r="J2565" s="183" t="s">
        <v>12095</v>
      </c>
      <c r="K2565">
        <v>0</v>
      </c>
      <c r="L2565">
        <v>18</v>
      </c>
    </row>
    <row r="2566" spans="1:12">
      <c r="A2566" s="183" t="s">
        <v>5828</v>
      </c>
      <c r="B2566" s="183" t="s">
        <v>1054</v>
      </c>
      <c r="C2566">
        <v>175180159</v>
      </c>
      <c r="D2566">
        <v>69</v>
      </c>
      <c r="E2566">
        <v>0</v>
      </c>
      <c r="F2566">
        <v>0</v>
      </c>
      <c r="G2566">
        <v>0</v>
      </c>
      <c r="H2566">
        <v>69</v>
      </c>
      <c r="I2566" s="183" t="s">
        <v>1055</v>
      </c>
      <c r="J2566" s="183" t="s">
        <v>12066</v>
      </c>
      <c r="K2566">
        <v>0</v>
      </c>
      <c r="L2566">
        <v>69</v>
      </c>
    </row>
    <row r="2567" spans="1:12">
      <c r="A2567" s="183" t="s">
        <v>807</v>
      </c>
      <c r="B2567" s="183" t="s">
        <v>1054</v>
      </c>
      <c r="C2567">
        <v>250175180159</v>
      </c>
      <c r="D2567">
        <v>65</v>
      </c>
      <c r="E2567">
        <v>0</v>
      </c>
      <c r="F2567">
        <v>0</v>
      </c>
      <c r="G2567">
        <v>0</v>
      </c>
      <c r="H2567">
        <v>65</v>
      </c>
      <c r="I2567" s="183" t="s">
        <v>1055</v>
      </c>
      <c r="J2567" s="183" t="s">
        <v>12087</v>
      </c>
      <c r="K2567">
        <v>0</v>
      </c>
      <c r="L2567">
        <v>65</v>
      </c>
    </row>
    <row r="2568" spans="1:12">
      <c r="A2568" s="183" t="s">
        <v>5178</v>
      </c>
      <c r="B2568" s="183" t="s">
        <v>1054</v>
      </c>
      <c r="C2568">
        <v>300175180159</v>
      </c>
      <c r="D2568">
        <v>205</v>
      </c>
      <c r="E2568">
        <v>0</v>
      </c>
      <c r="F2568">
        <v>0</v>
      </c>
      <c r="G2568">
        <v>0</v>
      </c>
      <c r="H2568">
        <v>205</v>
      </c>
      <c r="I2568" s="183" t="s">
        <v>1055</v>
      </c>
      <c r="J2568" s="183" t="s">
        <v>12087</v>
      </c>
      <c r="K2568">
        <v>0</v>
      </c>
      <c r="L2568">
        <v>205</v>
      </c>
    </row>
    <row r="2569" spans="1:12">
      <c r="A2569" s="183" t="s">
        <v>808</v>
      </c>
      <c r="B2569" s="183" t="s">
        <v>1054</v>
      </c>
      <c r="C2569">
        <v>325075180159</v>
      </c>
      <c r="D2569">
        <v>236</v>
      </c>
      <c r="E2569">
        <v>0</v>
      </c>
      <c r="F2569">
        <v>0</v>
      </c>
      <c r="G2569">
        <v>0</v>
      </c>
      <c r="H2569">
        <v>236</v>
      </c>
      <c r="I2569" s="183" t="s">
        <v>1055</v>
      </c>
      <c r="J2569" s="183" t="s">
        <v>12081</v>
      </c>
      <c r="K2569">
        <v>0</v>
      </c>
      <c r="L2569">
        <v>236</v>
      </c>
    </row>
    <row r="2570" spans="1:12">
      <c r="A2570" s="183" t="s">
        <v>809</v>
      </c>
      <c r="B2570" s="183" t="s">
        <v>1054</v>
      </c>
      <c r="C2570">
        <v>325125180159</v>
      </c>
      <c r="D2570">
        <v>43</v>
      </c>
      <c r="E2570">
        <v>0</v>
      </c>
      <c r="F2570">
        <v>0</v>
      </c>
      <c r="G2570">
        <v>0</v>
      </c>
      <c r="H2570">
        <v>43</v>
      </c>
      <c r="I2570" s="183" t="s">
        <v>1055</v>
      </c>
      <c r="J2570" s="183" t="s">
        <v>12085</v>
      </c>
      <c r="K2570">
        <v>0</v>
      </c>
      <c r="L2570">
        <v>43</v>
      </c>
    </row>
    <row r="2571" spans="1:12">
      <c r="A2571" s="183" t="s">
        <v>810</v>
      </c>
      <c r="B2571" s="183" t="s">
        <v>1054</v>
      </c>
      <c r="C2571">
        <v>425175180159</v>
      </c>
      <c r="D2571">
        <v>183</v>
      </c>
      <c r="E2571">
        <v>0</v>
      </c>
      <c r="F2571">
        <v>0</v>
      </c>
      <c r="G2571">
        <v>0</v>
      </c>
      <c r="H2571">
        <v>183</v>
      </c>
      <c r="I2571" s="183" t="s">
        <v>1055</v>
      </c>
      <c r="J2571" s="183" t="s">
        <v>12087</v>
      </c>
      <c r="K2571">
        <v>0</v>
      </c>
      <c r="L2571">
        <v>183</v>
      </c>
    </row>
    <row r="2572" spans="1:12">
      <c r="A2572" s="183" t="s">
        <v>811</v>
      </c>
      <c r="B2572" s="183" t="s">
        <v>1054</v>
      </c>
      <c r="C2572">
        <v>525125180159</v>
      </c>
      <c r="D2572">
        <v>290</v>
      </c>
      <c r="E2572">
        <v>0</v>
      </c>
      <c r="F2572">
        <v>0</v>
      </c>
      <c r="G2572">
        <v>0</v>
      </c>
      <c r="H2572">
        <v>290</v>
      </c>
      <c r="I2572" s="183" t="s">
        <v>1055</v>
      </c>
      <c r="J2572" s="183" t="s">
        <v>12067</v>
      </c>
      <c r="K2572">
        <v>0</v>
      </c>
      <c r="L2572">
        <v>290</v>
      </c>
    </row>
    <row r="2573" spans="1:12">
      <c r="A2573" s="183" t="s">
        <v>812</v>
      </c>
      <c r="B2573" s="183" t="s">
        <v>1054</v>
      </c>
      <c r="C2573">
        <v>575175180159</v>
      </c>
      <c r="D2573">
        <v>398</v>
      </c>
      <c r="E2573">
        <v>0</v>
      </c>
      <c r="F2573">
        <v>0</v>
      </c>
      <c r="G2573">
        <v>0</v>
      </c>
      <c r="H2573">
        <v>398</v>
      </c>
      <c r="I2573" s="183" t="s">
        <v>1055</v>
      </c>
      <c r="J2573" s="183" t="s">
        <v>12093</v>
      </c>
      <c r="K2573">
        <v>0</v>
      </c>
      <c r="L2573">
        <v>398</v>
      </c>
    </row>
    <row r="2574" spans="1:12">
      <c r="A2574" s="183" t="s">
        <v>2954</v>
      </c>
      <c r="B2574" s="183" t="s">
        <v>1054</v>
      </c>
      <c r="C2574">
        <v>600125180159</v>
      </c>
      <c r="D2574">
        <v>64</v>
      </c>
      <c r="E2574">
        <v>0</v>
      </c>
      <c r="F2574">
        <v>0</v>
      </c>
      <c r="G2574">
        <v>0</v>
      </c>
      <c r="H2574">
        <v>64</v>
      </c>
      <c r="I2574" s="183" t="s">
        <v>1055</v>
      </c>
      <c r="J2574" s="183" t="s">
        <v>12091</v>
      </c>
      <c r="K2574">
        <v>0</v>
      </c>
      <c r="L2574">
        <v>64</v>
      </c>
    </row>
    <row r="2575" spans="1:12">
      <c r="A2575" s="183" t="s">
        <v>813</v>
      </c>
      <c r="B2575" s="183" t="s">
        <v>1054</v>
      </c>
      <c r="C2575">
        <v>650075180159</v>
      </c>
      <c r="D2575">
        <v>41</v>
      </c>
      <c r="E2575">
        <v>0</v>
      </c>
      <c r="F2575">
        <v>0</v>
      </c>
      <c r="G2575">
        <v>0</v>
      </c>
      <c r="H2575">
        <v>41</v>
      </c>
      <c r="I2575" s="183" t="s">
        <v>1055</v>
      </c>
      <c r="J2575" s="183" t="s">
        <v>12087</v>
      </c>
      <c r="K2575">
        <v>0</v>
      </c>
      <c r="L2575">
        <v>41</v>
      </c>
    </row>
    <row r="2576" spans="1:12">
      <c r="A2576" s="183" t="s">
        <v>3193</v>
      </c>
      <c r="B2576" s="183" t="s">
        <v>1054</v>
      </c>
      <c r="C2576">
        <v>800175180159</v>
      </c>
      <c r="D2576">
        <v>86</v>
      </c>
      <c r="E2576">
        <v>0</v>
      </c>
      <c r="F2576">
        <v>0</v>
      </c>
      <c r="G2576">
        <v>0</v>
      </c>
      <c r="H2576">
        <v>86</v>
      </c>
      <c r="I2576" s="183" t="s">
        <v>1055</v>
      </c>
      <c r="J2576" s="183" t="s">
        <v>12081</v>
      </c>
      <c r="K2576">
        <v>0</v>
      </c>
      <c r="L2576">
        <v>86</v>
      </c>
    </row>
    <row r="2577" spans="1:12">
      <c r="A2577" s="183" t="s">
        <v>814</v>
      </c>
      <c r="B2577" s="183" t="s">
        <v>1054</v>
      </c>
      <c r="C2577">
        <v>900075180159</v>
      </c>
      <c r="D2577">
        <v>193</v>
      </c>
      <c r="E2577">
        <v>0</v>
      </c>
      <c r="F2577">
        <v>0</v>
      </c>
      <c r="G2577">
        <v>0</v>
      </c>
      <c r="H2577">
        <v>193</v>
      </c>
      <c r="I2577" s="183" t="s">
        <v>1055</v>
      </c>
      <c r="J2577" s="183" t="s">
        <v>12053</v>
      </c>
      <c r="K2577">
        <v>0</v>
      </c>
      <c r="L2577">
        <v>193</v>
      </c>
    </row>
    <row r="2578" spans="1:12">
      <c r="A2578" s="183" t="s">
        <v>998</v>
      </c>
      <c r="B2578" s="183" t="s">
        <v>999</v>
      </c>
      <c r="C2578">
        <v>64000202</v>
      </c>
      <c r="D2578">
        <v>412</v>
      </c>
      <c r="E2578">
        <v>0</v>
      </c>
      <c r="F2578">
        <v>0</v>
      </c>
      <c r="G2578">
        <v>0</v>
      </c>
      <c r="H2578">
        <v>412</v>
      </c>
      <c r="I2578" s="183" t="s">
        <v>1000</v>
      </c>
      <c r="J2578" s="183" t="s">
        <v>12091</v>
      </c>
      <c r="K2578">
        <v>0</v>
      </c>
      <c r="L2578">
        <v>412</v>
      </c>
    </row>
    <row r="2579" spans="1:12">
      <c r="A2579" s="183" t="s">
        <v>4458</v>
      </c>
      <c r="B2579" s="183" t="s">
        <v>4459</v>
      </c>
      <c r="C2579">
        <v>64000207</v>
      </c>
      <c r="D2579">
        <v>130</v>
      </c>
      <c r="E2579">
        <v>0</v>
      </c>
      <c r="F2579">
        <v>47</v>
      </c>
      <c r="G2579">
        <v>0</v>
      </c>
      <c r="H2579">
        <v>177</v>
      </c>
      <c r="I2579" s="183" t="s">
        <v>1000</v>
      </c>
      <c r="J2579" s="183" t="s">
        <v>12094</v>
      </c>
      <c r="K2579">
        <v>0</v>
      </c>
      <c r="L2579">
        <v>130</v>
      </c>
    </row>
    <row r="2580" spans="1:12">
      <c r="A2580" s="183" t="s">
        <v>1142</v>
      </c>
      <c r="B2580" s="183" t="s">
        <v>1143</v>
      </c>
      <c r="C2580">
        <v>64000219</v>
      </c>
      <c r="D2580">
        <v>130</v>
      </c>
      <c r="E2580">
        <v>0</v>
      </c>
      <c r="F2580">
        <v>0</v>
      </c>
      <c r="G2580">
        <v>0</v>
      </c>
      <c r="H2580">
        <v>130</v>
      </c>
      <c r="I2580" s="183" t="s">
        <v>1000</v>
      </c>
      <c r="J2580" s="183" t="s">
        <v>12081</v>
      </c>
      <c r="K2580">
        <v>0</v>
      </c>
      <c r="L2580">
        <v>130</v>
      </c>
    </row>
    <row r="2581" spans="1:12">
      <c r="A2581" s="183" t="s">
        <v>6276</v>
      </c>
      <c r="B2581" s="183" t="s">
        <v>6277</v>
      </c>
      <c r="C2581">
        <v>63010209</v>
      </c>
      <c r="D2581">
        <v>367</v>
      </c>
      <c r="E2581">
        <v>0</v>
      </c>
      <c r="F2581">
        <v>0</v>
      </c>
      <c r="G2581">
        <v>0</v>
      </c>
      <c r="H2581">
        <v>367</v>
      </c>
      <c r="I2581" s="183" t="s">
        <v>988</v>
      </c>
      <c r="J2581" s="183" t="s">
        <v>12081</v>
      </c>
      <c r="K2581">
        <v>0</v>
      </c>
      <c r="L2581">
        <v>367</v>
      </c>
    </row>
    <row r="2582" spans="1:12">
      <c r="A2582" s="183" t="s">
        <v>368</v>
      </c>
      <c r="B2582" s="183" t="s">
        <v>997</v>
      </c>
      <c r="C2582">
        <v>63010215</v>
      </c>
      <c r="D2582">
        <v>381</v>
      </c>
      <c r="E2582">
        <v>0</v>
      </c>
      <c r="F2582">
        <v>0</v>
      </c>
      <c r="G2582">
        <v>0</v>
      </c>
      <c r="H2582">
        <v>381</v>
      </c>
      <c r="I2582" s="183" t="s">
        <v>988</v>
      </c>
      <c r="J2582" s="183" t="s">
        <v>12093</v>
      </c>
      <c r="K2582">
        <v>0</v>
      </c>
      <c r="L2582">
        <v>381</v>
      </c>
    </row>
    <row r="2583" spans="1:12">
      <c r="A2583" s="183" t="s">
        <v>370</v>
      </c>
      <c r="B2583" s="183" t="s">
        <v>987</v>
      </c>
      <c r="C2583">
        <v>63010219</v>
      </c>
      <c r="D2583" s="501">
        <v>1717</v>
      </c>
      <c r="E2583">
        <v>0</v>
      </c>
      <c r="F2583">
        <v>0</v>
      </c>
      <c r="G2583">
        <v>0</v>
      </c>
      <c r="H2583" s="501">
        <v>1717</v>
      </c>
      <c r="I2583" s="183" t="s">
        <v>988</v>
      </c>
      <c r="J2583" s="183" t="s">
        <v>12093</v>
      </c>
      <c r="K2583">
        <v>0</v>
      </c>
      <c r="L2583" s="501">
        <v>1717</v>
      </c>
    </row>
    <row r="2584" spans="1:12">
      <c r="A2584" s="183" t="s">
        <v>5148</v>
      </c>
      <c r="B2584" s="183" t="s">
        <v>5149</v>
      </c>
      <c r="C2584">
        <v>63010238</v>
      </c>
      <c r="D2584">
        <v>174</v>
      </c>
      <c r="E2584">
        <v>0</v>
      </c>
      <c r="F2584">
        <v>0</v>
      </c>
      <c r="G2584">
        <v>0</v>
      </c>
      <c r="H2584">
        <v>174</v>
      </c>
      <c r="I2584" s="183" t="s">
        <v>988</v>
      </c>
      <c r="J2584" s="183" t="s">
        <v>12092</v>
      </c>
      <c r="K2584">
        <v>0</v>
      </c>
      <c r="L2584">
        <v>174</v>
      </c>
    </row>
    <row r="2585" spans="1:12">
      <c r="A2585" s="183" t="s">
        <v>380</v>
      </c>
      <c r="B2585" s="183" t="s">
        <v>1284</v>
      </c>
      <c r="C2585">
        <v>63010240</v>
      </c>
      <c r="D2585">
        <v>314</v>
      </c>
      <c r="E2585">
        <v>0</v>
      </c>
      <c r="F2585">
        <v>0</v>
      </c>
      <c r="G2585">
        <v>0</v>
      </c>
      <c r="H2585">
        <v>314</v>
      </c>
      <c r="I2585" s="183" t="s">
        <v>988</v>
      </c>
      <c r="J2585" s="183" t="s">
        <v>12087</v>
      </c>
      <c r="K2585">
        <v>0</v>
      </c>
      <c r="L2585">
        <v>314</v>
      </c>
    </row>
    <row r="2586" spans="1:12">
      <c r="A2586" s="183" t="s">
        <v>5144</v>
      </c>
      <c r="B2586" s="183" t="s">
        <v>5145</v>
      </c>
      <c r="C2586">
        <v>90180212</v>
      </c>
      <c r="D2586">
        <v>747</v>
      </c>
      <c r="E2586">
        <v>0</v>
      </c>
      <c r="F2586">
        <v>0</v>
      </c>
      <c r="G2586">
        <v>0</v>
      </c>
      <c r="H2586">
        <v>747</v>
      </c>
      <c r="I2586" s="183" t="s">
        <v>1020</v>
      </c>
      <c r="J2586" s="183" t="s">
        <v>12094</v>
      </c>
      <c r="K2586">
        <v>0</v>
      </c>
      <c r="L2586">
        <v>747</v>
      </c>
    </row>
    <row r="2587" spans="1:12">
      <c r="A2587" s="183" t="s">
        <v>372</v>
      </c>
      <c r="B2587" s="183" t="s">
        <v>1196</v>
      </c>
      <c r="C2587">
        <v>63010221</v>
      </c>
      <c r="D2587" s="501">
        <v>1096</v>
      </c>
      <c r="E2587">
        <v>0</v>
      </c>
      <c r="F2587">
        <v>0</v>
      </c>
      <c r="G2587">
        <v>0</v>
      </c>
      <c r="H2587" s="501">
        <v>1096</v>
      </c>
      <c r="I2587" s="183" t="s">
        <v>988</v>
      </c>
      <c r="J2587" s="183" t="s">
        <v>12093</v>
      </c>
      <c r="K2587">
        <v>0</v>
      </c>
      <c r="L2587" s="501">
        <v>1096</v>
      </c>
    </row>
    <row r="2588" spans="1:12">
      <c r="A2588" s="183" t="s">
        <v>375</v>
      </c>
      <c r="B2588" s="183" t="s">
        <v>2742</v>
      </c>
      <c r="C2588">
        <v>63010228</v>
      </c>
      <c r="D2588">
        <v>581</v>
      </c>
      <c r="E2588">
        <v>0</v>
      </c>
      <c r="F2588">
        <v>0</v>
      </c>
      <c r="G2588">
        <v>0</v>
      </c>
      <c r="H2588">
        <v>581</v>
      </c>
      <c r="I2588" s="183" t="s">
        <v>988</v>
      </c>
      <c r="J2588" s="183" t="s">
        <v>12081</v>
      </c>
      <c r="K2588">
        <v>0</v>
      </c>
      <c r="L2588">
        <v>581</v>
      </c>
    </row>
    <row r="2589" spans="1:12">
      <c r="A2589" s="183" t="s">
        <v>8924</v>
      </c>
      <c r="B2589" s="183" t="s">
        <v>8925</v>
      </c>
      <c r="C2589">
        <v>90180202</v>
      </c>
      <c r="D2589">
        <v>493</v>
      </c>
      <c r="E2589">
        <v>0</v>
      </c>
      <c r="F2589">
        <v>0</v>
      </c>
      <c r="G2589">
        <v>0</v>
      </c>
      <c r="H2589">
        <v>493</v>
      </c>
      <c r="I2589" s="183" t="s">
        <v>1020</v>
      </c>
      <c r="J2589" s="183" t="s">
        <v>12081</v>
      </c>
      <c r="K2589">
        <v>0</v>
      </c>
      <c r="L2589">
        <v>493</v>
      </c>
    </row>
    <row r="2590" spans="1:12">
      <c r="A2590" s="183" t="s">
        <v>3118</v>
      </c>
      <c r="B2590" s="183" t="s">
        <v>3119</v>
      </c>
      <c r="C2590">
        <v>90180207</v>
      </c>
      <c r="D2590">
        <v>340</v>
      </c>
      <c r="E2590">
        <v>0</v>
      </c>
      <c r="F2590">
        <v>0</v>
      </c>
      <c r="G2590">
        <v>0</v>
      </c>
      <c r="H2590">
        <v>340</v>
      </c>
      <c r="I2590" s="183" t="s">
        <v>1020</v>
      </c>
      <c r="J2590" s="183" t="s">
        <v>12063</v>
      </c>
      <c r="K2590">
        <v>0</v>
      </c>
      <c r="L2590">
        <v>340</v>
      </c>
    </row>
    <row r="2591" spans="1:12">
      <c r="A2591" s="183" t="s">
        <v>5205</v>
      </c>
      <c r="B2591" s="183" t="s">
        <v>5206</v>
      </c>
      <c r="C2591">
        <v>90180208</v>
      </c>
      <c r="D2591">
        <v>496</v>
      </c>
      <c r="E2591">
        <v>0</v>
      </c>
      <c r="F2591">
        <v>0</v>
      </c>
      <c r="G2591">
        <v>0</v>
      </c>
      <c r="H2591">
        <v>496</v>
      </c>
      <c r="I2591" s="183" t="s">
        <v>1020</v>
      </c>
      <c r="J2591" s="183" t="s">
        <v>12091</v>
      </c>
      <c r="K2591">
        <v>0</v>
      </c>
      <c r="L2591">
        <v>496</v>
      </c>
    </row>
    <row r="2592" spans="1:12">
      <c r="A2592" s="183" t="s">
        <v>5201</v>
      </c>
      <c r="B2592" s="183" t="s">
        <v>5202</v>
      </c>
      <c r="C2592">
        <v>90180211</v>
      </c>
      <c r="D2592">
        <v>368</v>
      </c>
      <c r="E2592">
        <v>0</v>
      </c>
      <c r="F2592">
        <v>0</v>
      </c>
      <c r="G2592">
        <v>0</v>
      </c>
      <c r="H2592">
        <v>368</v>
      </c>
      <c r="I2592" s="183" t="s">
        <v>1020</v>
      </c>
      <c r="J2592" s="183" t="s">
        <v>12081</v>
      </c>
      <c r="K2592">
        <v>0</v>
      </c>
      <c r="L2592">
        <v>368</v>
      </c>
    </row>
    <row r="2593" spans="1:12">
      <c r="A2593" s="183" t="s">
        <v>5185</v>
      </c>
      <c r="B2593" s="183" t="s">
        <v>5186</v>
      </c>
      <c r="C2593">
        <v>90180214</v>
      </c>
      <c r="D2593">
        <v>276</v>
      </c>
      <c r="E2593">
        <v>0</v>
      </c>
      <c r="F2593">
        <v>0</v>
      </c>
      <c r="G2593">
        <v>0</v>
      </c>
      <c r="H2593">
        <v>276</v>
      </c>
      <c r="I2593" s="183" t="s">
        <v>1020</v>
      </c>
      <c r="J2593" s="183" t="s">
        <v>12053</v>
      </c>
      <c r="K2593">
        <v>0</v>
      </c>
      <c r="L2593">
        <v>276</v>
      </c>
    </row>
    <row r="2594" spans="1:12">
      <c r="A2594" s="183" t="s">
        <v>5196</v>
      </c>
      <c r="B2594" s="183" t="s">
        <v>5197</v>
      </c>
      <c r="C2594">
        <v>90180215</v>
      </c>
      <c r="D2594">
        <v>364</v>
      </c>
      <c r="E2594">
        <v>0</v>
      </c>
      <c r="F2594">
        <v>0</v>
      </c>
      <c r="G2594">
        <v>0</v>
      </c>
      <c r="H2594">
        <v>364</v>
      </c>
      <c r="I2594" s="183" t="s">
        <v>1020</v>
      </c>
      <c r="J2594" s="183" t="s">
        <v>12059</v>
      </c>
      <c r="K2594">
        <v>0</v>
      </c>
      <c r="L2594">
        <v>364</v>
      </c>
    </row>
    <row r="2595" spans="1:12">
      <c r="A2595" s="183" t="s">
        <v>2947</v>
      </c>
      <c r="B2595" s="183" t="s">
        <v>2948</v>
      </c>
      <c r="C2595">
        <v>90180221</v>
      </c>
      <c r="D2595">
        <v>188</v>
      </c>
      <c r="E2595">
        <v>0</v>
      </c>
      <c r="F2595">
        <v>0</v>
      </c>
      <c r="G2595">
        <v>0</v>
      </c>
      <c r="H2595">
        <v>188</v>
      </c>
      <c r="I2595" s="183" t="s">
        <v>1020</v>
      </c>
      <c r="J2595" s="183" t="s">
        <v>12059</v>
      </c>
      <c r="K2595">
        <v>0</v>
      </c>
      <c r="L2595">
        <v>188</v>
      </c>
    </row>
    <row r="2596" spans="1:12">
      <c r="A2596" s="183" t="s">
        <v>6325</v>
      </c>
      <c r="B2596" s="183" t="s">
        <v>8644</v>
      </c>
      <c r="C2596">
        <v>8800322942932</v>
      </c>
      <c r="D2596">
        <v>588</v>
      </c>
      <c r="E2596">
        <v>0</v>
      </c>
      <c r="F2596">
        <v>0</v>
      </c>
      <c r="G2596">
        <v>0</v>
      </c>
      <c r="H2596">
        <v>588</v>
      </c>
      <c r="I2596" s="183" t="s">
        <v>5710</v>
      </c>
      <c r="J2596" s="183" t="s">
        <v>12057</v>
      </c>
      <c r="K2596">
        <v>0</v>
      </c>
      <c r="L2596">
        <v>588</v>
      </c>
    </row>
    <row r="2597" spans="1:12">
      <c r="A2597" s="183" t="s">
        <v>5735</v>
      </c>
      <c r="B2597" s="183" t="s">
        <v>8644</v>
      </c>
      <c r="C2597">
        <v>8800322943076</v>
      </c>
      <c r="D2597">
        <v>587</v>
      </c>
      <c r="E2597">
        <v>0</v>
      </c>
      <c r="F2597">
        <v>0</v>
      </c>
      <c r="G2597">
        <v>0</v>
      </c>
      <c r="H2597">
        <v>587</v>
      </c>
      <c r="I2597" s="183" t="s">
        <v>5710</v>
      </c>
      <c r="J2597" s="183" t="s">
        <v>12063</v>
      </c>
      <c r="K2597">
        <v>0</v>
      </c>
      <c r="L2597">
        <v>587</v>
      </c>
    </row>
    <row r="2598" spans="1:12">
      <c r="A2598" s="183" t="s">
        <v>5840</v>
      </c>
      <c r="B2598" s="183" t="s">
        <v>8644</v>
      </c>
      <c r="C2598">
        <v>8800322943151</v>
      </c>
      <c r="D2598">
        <v>659</v>
      </c>
      <c r="E2598">
        <v>0</v>
      </c>
      <c r="F2598">
        <v>0</v>
      </c>
      <c r="G2598">
        <v>0</v>
      </c>
      <c r="H2598">
        <v>659</v>
      </c>
      <c r="I2598" s="183" t="s">
        <v>5710</v>
      </c>
      <c r="J2598" s="183" t="s">
        <v>12050</v>
      </c>
      <c r="K2598">
        <v>0</v>
      </c>
      <c r="L2598">
        <v>659</v>
      </c>
    </row>
    <row r="2599" spans="1:12">
      <c r="A2599" s="183" t="s">
        <v>5841</v>
      </c>
      <c r="B2599" s="183" t="s">
        <v>8646</v>
      </c>
      <c r="C2599">
        <v>8800322943199</v>
      </c>
      <c r="D2599">
        <v>572</v>
      </c>
      <c r="E2599">
        <v>0</v>
      </c>
      <c r="F2599">
        <v>0</v>
      </c>
      <c r="G2599">
        <v>0</v>
      </c>
      <c r="H2599">
        <v>572</v>
      </c>
      <c r="I2599" s="183" t="s">
        <v>5720</v>
      </c>
      <c r="J2599" s="183" t="s">
        <v>12095</v>
      </c>
      <c r="K2599">
        <v>0</v>
      </c>
      <c r="L2599">
        <v>572</v>
      </c>
    </row>
    <row r="2600" spans="1:12">
      <c r="A2600" s="183" t="s">
        <v>5736</v>
      </c>
      <c r="B2600" s="183" t="s">
        <v>8646</v>
      </c>
      <c r="C2600">
        <v>8800322943243</v>
      </c>
      <c r="D2600">
        <v>580</v>
      </c>
      <c r="E2600">
        <v>0</v>
      </c>
      <c r="F2600">
        <v>0</v>
      </c>
      <c r="G2600">
        <v>0</v>
      </c>
      <c r="H2600">
        <v>580</v>
      </c>
      <c r="I2600" s="183" t="s">
        <v>5720</v>
      </c>
      <c r="J2600" s="183" t="s">
        <v>12066</v>
      </c>
      <c r="K2600">
        <v>0</v>
      </c>
      <c r="L2600">
        <v>580</v>
      </c>
    </row>
    <row r="2601" spans="1:12">
      <c r="A2601" s="183" t="s">
        <v>5842</v>
      </c>
      <c r="B2601" s="183" t="s">
        <v>8646</v>
      </c>
      <c r="C2601">
        <v>8800322943380</v>
      </c>
      <c r="D2601">
        <v>625</v>
      </c>
      <c r="E2601">
        <v>0</v>
      </c>
      <c r="F2601">
        <v>0</v>
      </c>
      <c r="G2601">
        <v>0</v>
      </c>
      <c r="H2601">
        <v>625</v>
      </c>
      <c r="I2601" s="183" t="s">
        <v>5720</v>
      </c>
      <c r="J2601" s="183" t="s">
        <v>12066</v>
      </c>
      <c r="K2601">
        <v>0</v>
      </c>
      <c r="L2601">
        <v>625</v>
      </c>
    </row>
    <row r="2602" spans="1:12">
      <c r="A2602" s="183" t="s">
        <v>5737</v>
      </c>
      <c r="B2602" s="183" t="s">
        <v>8645</v>
      </c>
      <c r="C2602">
        <v>8800322943496</v>
      </c>
      <c r="D2602">
        <v>629</v>
      </c>
      <c r="E2602">
        <v>0</v>
      </c>
      <c r="F2602">
        <v>1</v>
      </c>
      <c r="G2602">
        <v>0</v>
      </c>
      <c r="H2602">
        <v>630</v>
      </c>
      <c r="I2602" s="183" t="s">
        <v>5712</v>
      </c>
      <c r="J2602" s="183" t="s">
        <v>12061</v>
      </c>
      <c r="K2602">
        <v>0</v>
      </c>
      <c r="L2602">
        <v>629</v>
      </c>
    </row>
    <row r="2603" spans="1:12">
      <c r="A2603" s="183" t="s">
        <v>6396</v>
      </c>
      <c r="B2603" s="183" t="s">
        <v>8645</v>
      </c>
      <c r="C2603">
        <v>8800322943540</v>
      </c>
      <c r="D2603">
        <v>640</v>
      </c>
      <c r="E2603">
        <v>0</v>
      </c>
      <c r="F2603">
        <v>0</v>
      </c>
      <c r="G2603">
        <v>0</v>
      </c>
      <c r="H2603">
        <v>640</v>
      </c>
      <c r="I2603" s="183" t="s">
        <v>5712</v>
      </c>
      <c r="J2603" s="183" t="s">
        <v>12095</v>
      </c>
      <c r="K2603">
        <v>0</v>
      </c>
      <c r="L2603">
        <v>640</v>
      </c>
    </row>
    <row r="2604" spans="1:12">
      <c r="A2604" s="183" t="s">
        <v>383</v>
      </c>
      <c r="B2604" s="183" t="s">
        <v>384</v>
      </c>
      <c r="C2604">
        <v>80172202</v>
      </c>
      <c r="D2604">
        <v>132</v>
      </c>
      <c r="E2604">
        <v>0</v>
      </c>
      <c r="F2604">
        <v>122</v>
      </c>
      <c r="G2604">
        <v>0</v>
      </c>
      <c r="H2604">
        <v>254</v>
      </c>
      <c r="I2604" s="183" t="s">
        <v>1058</v>
      </c>
      <c r="J2604" s="183" t="s">
        <v>12059</v>
      </c>
      <c r="K2604">
        <v>0</v>
      </c>
      <c r="L2604">
        <v>132</v>
      </c>
    </row>
    <row r="2605" spans="1:12">
      <c r="A2605" s="183" t="s">
        <v>6244</v>
      </c>
      <c r="B2605" s="183" t="s">
        <v>6245</v>
      </c>
      <c r="C2605">
        <v>80172211</v>
      </c>
      <c r="D2605">
        <v>293</v>
      </c>
      <c r="E2605">
        <v>0</v>
      </c>
      <c r="F2605">
        <v>2</v>
      </c>
      <c r="G2605">
        <v>0</v>
      </c>
      <c r="H2605">
        <v>295</v>
      </c>
      <c r="I2605" s="183" t="s">
        <v>1058</v>
      </c>
      <c r="J2605" s="183" t="s">
        <v>12092</v>
      </c>
      <c r="K2605">
        <v>0</v>
      </c>
      <c r="L2605">
        <v>293</v>
      </c>
    </row>
    <row r="2606" spans="1:12">
      <c r="A2606" s="183" t="s">
        <v>6361</v>
      </c>
      <c r="B2606" s="183" t="s">
        <v>6362</v>
      </c>
      <c r="C2606">
        <v>80172220</v>
      </c>
      <c r="D2606">
        <v>302</v>
      </c>
      <c r="E2606">
        <v>0</v>
      </c>
      <c r="F2606">
        <v>0</v>
      </c>
      <c r="G2606">
        <v>0</v>
      </c>
      <c r="H2606">
        <v>302</v>
      </c>
      <c r="I2606" s="183" t="s">
        <v>1058</v>
      </c>
      <c r="J2606" s="183" t="s">
        <v>12056</v>
      </c>
      <c r="K2606">
        <v>0</v>
      </c>
      <c r="L2606">
        <v>302</v>
      </c>
    </row>
    <row r="2607" spans="1:12">
      <c r="A2607" s="183" t="s">
        <v>6894</v>
      </c>
      <c r="B2607" s="183" t="s">
        <v>6895</v>
      </c>
      <c r="C2607">
        <v>80172222</v>
      </c>
      <c r="D2607">
        <v>295</v>
      </c>
      <c r="E2607">
        <v>0</v>
      </c>
      <c r="F2607">
        <v>0</v>
      </c>
      <c r="G2607">
        <v>0</v>
      </c>
      <c r="H2607">
        <v>295</v>
      </c>
      <c r="I2607" s="183" t="s">
        <v>1058</v>
      </c>
      <c r="J2607" s="183" t="s">
        <v>12057</v>
      </c>
      <c r="K2607">
        <v>0</v>
      </c>
      <c r="L2607">
        <v>295</v>
      </c>
    </row>
    <row r="2608" spans="1:12">
      <c r="A2608" s="183" t="s">
        <v>5167</v>
      </c>
      <c r="B2608" s="183" t="s">
        <v>5168</v>
      </c>
      <c r="C2608">
        <v>80172226</v>
      </c>
      <c r="D2608">
        <v>323</v>
      </c>
      <c r="E2608">
        <v>0</v>
      </c>
      <c r="F2608">
        <v>0</v>
      </c>
      <c r="G2608">
        <v>0</v>
      </c>
      <c r="H2608">
        <v>323</v>
      </c>
      <c r="I2608" s="183" t="s">
        <v>1058</v>
      </c>
      <c r="J2608" s="183" t="s">
        <v>12054</v>
      </c>
      <c r="K2608">
        <v>0</v>
      </c>
      <c r="L2608">
        <v>323</v>
      </c>
    </row>
    <row r="2609" spans="1:12">
      <c r="A2609" s="183" t="s">
        <v>7490</v>
      </c>
      <c r="B2609" s="183" t="s">
        <v>6338</v>
      </c>
      <c r="C2609">
        <v>8800358433589</v>
      </c>
      <c r="D2609">
        <v>156</v>
      </c>
      <c r="E2609">
        <v>0</v>
      </c>
      <c r="F2609">
        <v>0</v>
      </c>
      <c r="G2609">
        <v>0</v>
      </c>
      <c r="H2609">
        <v>156</v>
      </c>
      <c r="I2609" s="183" t="s">
        <v>6400</v>
      </c>
      <c r="J2609" s="183" t="s">
        <v>12063</v>
      </c>
      <c r="K2609">
        <v>0</v>
      </c>
      <c r="L2609">
        <v>156</v>
      </c>
    </row>
    <row r="2610" spans="1:12">
      <c r="A2610" s="183" t="s">
        <v>6399</v>
      </c>
      <c r="B2610" s="183" t="s">
        <v>6338</v>
      </c>
      <c r="C2610">
        <v>8800358433596</v>
      </c>
      <c r="D2610">
        <v>285</v>
      </c>
      <c r="E2610">
        <v>0</v>
      </c>
      <c r="F2610">
        <v>0</v>
      </c>
      <c r="G2610">
        <v>0</v>
      </c>
      <c r="H2610">
        <v>285</v>
      </c>
      <c r="I2610" s="183" t="s">
        <v>6400</v>
      </c>
      <c r="J2610" s="183" t="s">
        <v>12066</v>
      </c>
      <c r="K2610">
        <v>0</v>
      </c>
      <c r="L2610">
        <v>285</v>
      </c>
    </row>
    <row r="2611" spans="1:12">
      <c r="A2611" s="183" t="s">
        <v>6847</v>
      </c>
      <c r="B2611" s="183" t="s">
        <v>6338</v>
      </c>
      <c r="C2611">
        <v>8800358433664</v>
      </c>
      <c r="D2611">
        <v>58</v>
      </c>
      <c r="E2611">
        <v>0</v>
      </c>
      <c r="F2611">
        <v>0</v>
      </c>
      <c r="G2611">
        <v>0</v>
      </c>
      <c r="H2611">
        <v>58</v>
      </c>
      <c r="I2611" s="183" t="s">
        <v>6400</v>
      </c>
      <c r="J2611" s="183" t="s">
        <v>12063</v>
      </c>
      <c r="K2611">
        <v>0</v>
      </c>
      <c r="L2611">
        <v>58</v>
      </c>
    </row>
    <row r="2612" spans="1:12">
      <c r="A2612" s="183" t="s">
        <v>6427</v>
      </c>
      <c r="B2612" s="183" t="s">
        <v>6338</v>
      </c>
      <c r="C2612">
        <v>8800358433770</v>
      </c>
      <c r="D2612">
        <v>261</v>
      </c>
      <c r="E2612">
        <v>0</v>
      </c>
      <c r="F2612">
        <v>0</v>
      </c>
      <c r="G2612">
        <v>0</v>
      </c>
      <c r="H2612">
        <v>261</v>
      </c>
      <c r="I2612" s="183" t="s">
        <v>6400</v>
      </c>
      <c r="J2612" s="183" t="s">
        <v>12048</v>
      </c>
      <c r="K2612">
        <v>0</v>
      </c>
      <c r="L2612">
        <v>261</v>
      </c>
    </row>
    <row r="2613" spans="1:12">
      <c r="A2613" s="183" t="s">
        <v>6853</v>
      </c>
      <c r="B2613" s="183" t="s">
        <v>1029</v>
      </c>
      <c r="C2613">
        <v>8800358433923</v>
      </c>
      <c r="D2613">
        <v>69</v>
      </c>
      <c r="E2613">
        <v>0</v>
      </c>
      <c r="F2613">
        <v>0</v>
      </c>
      <c r="G2613">
        <v>0</v>
      </c>
      <c r="H2613">
        <v>69</v>
      </c>
      <c r="I2613" s="183" t="s">
        <v>6453</v>
      </c>
      <c r="J2613" s="183" t="s">
        <v>12048</v>
      </c>
      <c r="K2613">
        <v>0</v>
      </c>
      <c r="L2613">
        <v>69</v>
      </c>
    </row>
    <row r="2614" spans="1:12">
      <c r="A2614" s="183" t="s">
        <v>6469</v>
      </c>
      <c r="B2614" s="183" t="s">
        <v>1029</v>
      </c>
      <c r="C2614">
        <v>8800358434036</v>
      </c>
      <c r="D2614">
        <v>304</v>
      </c>
      <c r="E2614">
        <v>0</v>
      </c>
      <c r="F2614">
        <v>0</v>
      </c>
      <c r="G2614">
        <v>0</v>
      </c>
      <c r="H2614">
        <v>304</v>
      </c>
      <c r="I2614" s="183" t="s">
        <v>6453</v>
      </c>
      <c r="J2614" s="183" t="s">
        <v>12061</v>
      </c>
      <c r="K2614">
        <v>0</v>
      </c>
      <c r="L2614">
        <v>304</v>
      </c>
    </row>
    <row r="2615" spans="1:12">
      <c r="A2615" s="183" t="s">
        <v>6468</v>
      </c>
      <c r="B2615" s="183" t="s">
        <v>1029</v>
      </c>
      <c r="C2615">
        <v>8800358434067</v>
      </c>
      <c r="D2615">
        <v>306</v>
      </c>
      <c r="E2615">
        <v>0</v>
      </c>
      <c r="F2615">
        <v>0</v>
      </c>
      <c r="G2615">
        <v>0</v>
      </c>
      <c r="H2615">
        <v>306</v>
      </c>
      <c r="I2615" s="183" t="s">
        <v>6453</v>
      </c>
      <c r="J2615" s="183" t="s">
        <v>12061</v>
      </c>
      <c r="K2615">
        <v>0</v>
      </c>
      <c r="L2615">
        <v>306</v>
      </c>
    </row>
    <row r="2616" spans="1:12">
      <c r="A2616" s="183" t="s">
        <v>6854</v>
      </c>
      <c r="B2616" s="183" t="s">
        <v>1026</v>
      </c>
      <c r="C2616">
        <v>8800358434234</v>
      </c>
      <c r="D2616">
        <v>133</v>
      </c>
      <c r="E2616">
        <v>0</v>
      </c>
      <c r="F2616">
        <v>0</v>
      </c>
      <c r="G2616">
        <v>0</v>
      </c>
      <c r="H2616">
        <v>133</v>
      </c>
      <c r="I2616" s="183" t="s">
        <v>6450</v>
      </c>
      <c r="J2616" s="183" t="s">
        <v>12066</v>
      </c>
      <c r="K2616">
        <v>0</v>
      </c>
      <c r="L2616">
        <v>133</v>
      </c>
    </row>
    <row r="2617" spans="1:12">
      <c r="A2617" s="183" t="s">
        <v>6451</v>
      </c>
      <c r="B2617" s="183" t="s">
        <v>1026</v>
      </c>
      <c r="C2617">
        <v>8800358434289</v>
      </c>
      <c r="D2617">
        <v>163</v>
      </c>
      <c r="E2617">
        <v>0</v>
      </c>
      <c r="F2617">
        <v>0</v>
      </c>
      <c r="G2617">
        <v>0</v>
      </c>
      <c r="H2617">
        <v>163</v>
      </c>
      <c r="I2617" s="183" t="s">
        <v>6450</v>
      </c>
      <c r="J2617" s="183" t="s">
        <v>12050</v>
      </c>
      <c r="K2617">
        <v>0</v>
      </c>
      <c r="L2617">
        <v>163</v>
      </c>
    </row>
    <row r="2618" spans="1:12">
      <c r="A2618" s="183" t="s">
        <v>6473</v>
      </c>
      <c r="B2618" s="183" t="s">
        <v>1026</v>
      </c>
      <c r="C2618">
        <v>8800358434364</v>
      </c>
      <c r="D2618">
        <v>457</v>
      </c>
      <c r="E2618">
        <v>0</v>
      </c>
      <c r="F2618">
        <v>0</v>
      </c>
      <c r="G2618">
        <v>0</v>
      </c>
      <c r="H2618">
        <v>457</v>
      </c>
      <c r="I2618" s="183" t="s">
        <v>6450</v>
      </c>
      <c r="J2618" s="183" t="s">
        <v>12061</v>
      </c>
      <c r="K2618">
        <v>0</v>
      </c>
      <c r="L2618">
        <v>457</v>
      </c>
    </row>
    <row r="2619" spans="1:12">
      <c r="A2619" s="183" t="s">
        <v>403</v>
      </c>
      <c r="B2619" s="183" t="s">
        <v>1182</v>
      </c>
      <c r="C2619">
        <v>15860204</v>
      </c>
      <c r="D2619">
        <v>184</v>
      </c>
      <c r="E2619">
        <v>0</v>
      </c>
      <c r="F2619" s="501">
        <v>1049</v>
      </c>
      <c r="G2619">
        <v>0</v>
      </c>
      <c r="H2619" s="501">
        <v>1233</v>
      </c>
      <c r="I2619" s="183" t="s">
        <v>1183</v>
      </c>
      <c r="J2619" s="183" t="s">
        <v>12053</v>
      </c>
      <c r="K2619">
        <v>0</v>
      </c>
      <c r="L2619">
        <v>184</v>
      </c>
    </row>
    <row r="2620" spans="1:12">
      <c r="A2620" s="183" t="s">
        <v>405</v>
      </c>
      <c r="B2620" s="183" t="s">
        <v>1182</v>
      </c>
      <c r="C2620">
        <v>15860206</v>
      </c>
      <c r="D2620">
        <v>89</v>
      </c>
      <c r="E2620">
        <v>0</v>
      </c>
      <c r="F2620">
        <v>952</v>
      </c>
      <c r="G2620">
        <v>0</v>
      </c>
      <c r="H2620" s="501">
        <v>1041</v>
      </c>
      <c r="I2620" s="183" t="s">
        <v>1183</v>
      </c>
      <c r="J2620" s="183" t="s">
        <v>12091</v>
      </c>
      <c r="K2620">
        <v>0</v>
      </c>
      <c r="L2620">
        <v>89</v>
      </c>
    </row>
    <row r="2621" spans="1:12">
      <c r="A2621" s="183" t="s">
        <v>409</v>
      </c>
      <c r="B2621" s="183" t="s">
        <v>1182</v>
      </c>
      <c r="C2621">
        <v>15860210</v>
      </c>
      <c r="D2621">
        <v>0</v>
      </c>
      <c r="E2621">
        <v>0</v>
      </c>
      <c r="F2621" s="501">
        <v>2308</v>
      </c>
      <c r="G2621">
        <v>0</v>
      </c>
      <c r="H2621" s="501">
        <v>2308</v>
      </c>
      <c r="I2621" s="183" t="s">
        <v>1183</v>
      </c>
      <c r="J2621" s="183" t="s">
        <v>12091</v>
      </c>
      <c r="K2621">
        <v>0</v>
      </c>
      <c r="L2621">
        <v>0</v>
      </c>
    </row>
    <row r="2622" spans="1:12">
      <c r="A2622" s="183" t="s">
        <v>413</v>
      </c>
      <c r="B2622" s="183" t="s">
        <v>1182</v>
      </c>
      <c r="C2622">
        <v>15860214</v>
      </c>
      <c r="D2622">
        <v>0</v>
      </c>
      <c r="E2622">
        <v>0</v>
      </c>
      <c r="F2622" s="501">
        <v>2217</v>
      </c>
      <c r="G2622">
        <v>0</v>
      </c>
      <c r="H2622" s="501">
        <v>2217</v>
      </c>
      <c r="I2622" s="183" t="s">
        <v>1183</v>
      </c>
      <c r="J2622" s="183" t="s">
        <v>12067</v>
      </c>
      <c r="K2622">
        <v>0</v>
      </c>
      <c r="L2622">
        <v>0</v>
      </c>
    </row>
    <row r="2623" spans="1:12">
      <c r="A2623" s="183" t="s">
        <v>417</v>
      </c>
      <c r="B2623" s="183" t="s">
        <v>1182</v>
      </c>
      <c r="C2623">
        <v>15860218</v>
      </c>
      <c r="D2623">
        <v>158</v>
      </c>
      <c r="E2623">
        <v>0</v>
      </c>
      <c r="F2623" s="501">
        <v>2059</v>
      </c>
      <c r="G2623">
        <v>0</v>
      </c>
      <c r="H2623" s="501">
        <v>2217</v>
      </c>
      <c r="I2623" s="183" t="s">
        <v>1183</v>
      </c>
      <c r="J2623" s="183" t="s">
        <v>12081</v>
      </c>
      <c r="K2623">
        <v>0</v>
      </c>
      <c r="L2623">
        <v>158</v>
      </c>
    </row>
    <row r="2624" spans="1:12">
      <c r="A2624" s="183" t="s">
        <v>424</v>
      </c>
      <c r="B2624" s="183" t="s">
        <v>1182</v>
      </c>
      <c r="C2624">
        <v>15860226</v>
      </c>
      <c r="D2624">
        <v>218</v>
      </c>
      <c r="E2624">
        <v>0</v>
      </c>
      <c r="F2624">
        <v>756</v>
      </c>
      <c r="G2624">
        <v>0</v>
      </c>
      <c r="H2624">
        <v>974</v>
      </c>
      <c r="I2624" s="183" t="s">
        <v>1183</v>
      </c>
      <c r="J2624" s="183" t="s">
        <v>12091</v>
      </c>
      <c r="K2624">
        <v>0</v>
      </c>
      <c r="L2624">
        <v>218</v>
      </c>
    </row>
    <row r="2625" spans="1:12">
      <c r="A2625" s="183" t="s">
        <v>427</v>
      </c>
      <c r="B2625" s="183" t="s">
        <v>1182</v>
      </c>
      <c r="C2625">
        <v>15860232</v>
      </c>
      <c r="D2625">
        <v>78</v>
      </c>
      <c r="E2625">
        <v>0</v>
      </c>
      <c r="F2625">
        <v>168</v>
      </c>
      <c r="G2625">
        <v>0</v>
      </c>
      <c r="H2625">
        <v>246</v>
      </c>
      <c r="I2625" s="183" t="s">
        <v>1183</v>
      </c>
      <c r="J2625" s="183" t="s">
        <v>12059</v>
      </c>
      <c r="K2625">
        <v>0</v>
      </c>
      <c r="L2625">
        <v>78</v>
      </c>
    </row>
    <row r="2626" spans="1:12">
      <c r="A2626" s="183" t="s">
        <v>431</v>
      </c>
      <c r="B2626" s="183" t="s">
        <v>1182</v>
      </c>
      <c r="C2626">
        <v>15860240</v>
      </c>
      <c r="D2626">
        <v>44</v>
      </c>
      <c r="E2626">
        <v>0</v>
      </c>
      <c r="F2626">
        <v>186</v>
      </c>
      <c r="G2626">
        <v>0</v>
      </c>
      <c r="H2626">
        <v>230</v>
      </c>
      <c r="I2626" s="183" t="s">
        <v>1183</v>
      </c>
      <c r="J2626" s="183" t="s">
        <v>12067</v>
      </c>
      <c r="K2626">
        <v>0</v>
      </c>
      <c r="L2626">
        <v>44</v>
      </c>
    </row>
    <row r="2627" spans="1:12">
      <c r="A2627" s="183" t="s">
        <v>441</v>
      </c>
      <c r="B2627" s="183" t="s">
        <v>1010</v>
      </c>
      <c r="C2627">
        <v>15870236</v>
      </c>
      <c r="D2627">
        <v>194</v>
      </c>
      <c r="E2627">
        <v>0</v>
      </c>
      <c r="F2627">
        <v>53</v>
      </c>
      <c r="G2627">
        <v>0</v>
      </c>
      <c r="H2627">
        <v>247</v>
      </c>
      <c r="I2627" s="183" t="s">
        <v>1011</v>
      </c>
      <c r="J2627" s="183" t="s">
        <v>12067</v>
      </c>
      <c r="K2627">
        <v>0</v>
      </c>
      <c r="L2627">
        <v>194</v>
      </c>
    </row>
    <row r="2628" spans="1:12">
      <c r="A2628" s="183" t="s">
        <v>443</v>
      </c>
      <c r="B2628" s="183" t="s">
        <v>1010</v>
      </c>
      <c r="C2628">
        <v>15870240</v>
      </c>
      <c r="D2628">
        <v>149</v>
      </c>
      <c r="E2628">
        <v>0</v>
      </c>
      <c r="F2628">
        <v>26</v>
      </c>
      <c r="G2628">
        <v>0</v>
      </c>
      <c r="H2628">
        <v>175</v>
      </c>
      <c r="I2628" s="183" t="s">
        <v>1011</v>
      </c>
      <c r="J2628" s="183" t="s">
        <v>12092</v>
      </c>
      <c r="K2628">
        <v>0</v>
      </c>
      <c r="L2628">
        <v>149</v>
      </c>
    </row>
    <row r="2629" spans="1:12">
      <c r="A2629" s="183" t="s">
        <v>4856</v>
      </c>
      <c r="B2629" s="183" t="s">
        <v>1165</v>
      </c>
      <c r="C2629">
        <v>15880200</v>
      </c>
      <c r="D2629">
        <v>0</v>
      </c>
      <c r="E2629">
        <v>0</v>
      </c>
      <c r="F2629">
        <v>144</v>
      </c>
      <c r="G2629">
        <v>0</v>
      </c>
      <c r="H2629">
        <v>144</v>
      </c>
      <c r="I2629" s="183" t="s">
        <v>1166</v>
      </c>
      <c r="J2629" s="183" t="s">
        <v>12053</v>
      </c>
      <c r="K2629">
        <v>0</v>
      </c>
      <c r="L2629">
        <v>0</v>
      </c>
    </row>
    <row r="2630" spans="1:12">
      <c r="A2630" s="183" t="s">
        <v>454</v>
      </c>
      <c r="B2630" s="183" t="s">
        <v>1165</v>
      </c>
      <c r="C2630">
        <v>15880213</v>
      </c>
      <c r="D2630">
        <v>116</v>
      </c>
      <c r="E2630">
        <v>0</v>
      </c>
      <c r="F2630" s="501">
        <v>1328</v>
      </c>
      <c r="G2630">
        <v>0</v>
      </c>
      <c r="H2630" s="501">
        <v>1444</v>
      </c>
      <c r="I2630" s="183" t="s">
        <v>1166</v>
      </c>
      <c r="J2630" s="183" t="s">
        <v>12048</v>
      </c>
      <c r="K2630">
        <v>0</v>
      </c>
      <c r="L2630">
        <v>116</v>
      </c>
    </row>
    <row r="2631" spans="1:12">
      <c r="A2631" s="183" t="s">
        <v>462</v>
      </c>
      <c r="B2631" s="183" t="s">
        <v>1165</v>
      </c>
      <c r="C2631">
        <v>15880222</v>
      </c>
      <c r="D2631">
        <v>240</v>
      </c>
      <c r="E2631">
        <v>0</v>
      </c>
      <c r="F2631">
        <v>517</v>
      </c>
      <c r="G2631">
        <v>0</v>
      </c>
      <c r="H2631">
        <v>757</v>
      </c>
      <c r="I2631" s="183" t="s">
        <v>1166</v>
      </c>
      <c r="J2631" s="183" t="s">
        <v>12050</v>
      </c>
      <c r="K2631">
        <v>0</v>
      </c>
      <c r="L2631">
        <v>240</v>
      </c>
    </row>
    <row r="2632" spans="1:12">
      <c r="A2632" s="183" t="s">
        <v>6282</v>
      </c>
      <c r="B2632" s="183" t="s">
        <v>1032</v>
      </c>
      <c r="C2632">
        <v>73860226</v>
      </c>
      <c r="D2632">
        <v>204</v>
      </c>
      <c r="E2632">
        <v>0</v>
      </c>
      <c r="F2632">
        <v>0</v>
      </c>
      <c r="G2632">
        <v>0</v>
      </c>
      <c r="H2632">
        <v>204</v>
      </c>
      <c r="I2632" s="183" t="s">
        <v>1033</v>
      </c>
      <c r="J2632" s="183" t="s">
        <v>12093</v>
      </c>
      <c r="K2632">
        <v>0</v>
      </c>
      <c r="L2632">
        <v>204</v>
      </c>
    </row>
    <row r="2633" spans="1:12">
      <c r="A2633" s="183" t="s">
        <v>1336</v>
      </c>
      <c r="B2633" s="183" t="s">
        <v>1032</v>
      </c>
      <c r="C2633">
        <v>73860230</v>
      </c>
      <c r="D2633">
        <v>240</v>
      </c>
      <c r="E2633">
        <v>0</v>
      </c>
      <c r="F2633">
        <v>0</v>
      </c>
      <c r="G2633">
        <v>0</v>
      </c>
      <c r="H2633">
        <v>240</v>
      </c>
      <c r="I2633" s="183" t="s">
        <v>1033</v>
      </c>
      <c r="J2633" s="183" t="s">
        <v>12092</v>
      </c>
      <c r="K2633">
        <v>0</v>
      </c>
      <c r="L2633">
        <v>240</v>
      </c>
    </row>
    <row r="2634" spans="1:12">
      <c r="A2634" s="183" t="s">
        <v>305</v>
      </c>
      <c r="B2634" s="183" t="s">
        <v>1060</v>
      </c>
      <c r="C2634">
        <v>50075180154</v>
      </c>
      <c r="D2634">
        <v>358</v>
      </c>
      <c r="E2634">
        <v>0</v>
      </c>
      <c r="F2634">
        <v>0</v>
      </c>
      <c r="G2634">
        <v>0</v>
      </c>
      <c r="H2634">
        <v>358</v>
      </c>
      <c r="I2634" s="183" t="s">
        <v>1061</v>
      </c>
      <c r="J2634" s="183" t="s">
        <v>12053</v>
      </c>
      <c r="K2634">
        <v>0</v>
      </c>
      <c r="L2634">
        <v>358</v>
      </c>
    </row>
    <row r="2635" spans="1:12">
      <c r="A2635" s="183" t="s">
        <v>308</v>
      </c>
      <c r="B2635" s="183" t="s">
        <v>1060</v>
      </c>
      <c r="C2635">
        <v>75075180154</v>
      </c>
      <c r="D2635">
        <v>808</v>
      </c>
      <c r="E2635">
        <v>0</v>
      </c>
      <c r="F2635">
        <v>0</v>
      </c>
      <c r="G2635">
        <v>0</v>
      </c>
      <c r="H2635">
        <v>808</v>
      </c>
      <c r="I2635" s="183" t="s">
        <v>1061</v>
      </c>
      <c r="J2635" s="183" t="s">
        <v>12091</v>
      </c>
      <c r="K2635">
        <v>0</v>
      </c>
      <c r="L2635">
        <v>808</v>
      </c>
    </row>
    <row r="2636" spans="1:12">
      <c r="A2636" s="183" t="s">
        <v>310</v>
      </c>
      <c r="B2636" s="183" t="s">
        <v>1060</v>
      </c>
      <c r="C2636">
        <v>75175180154</v>
      </c>
      <c r="D2636">
        <v>210</v>
      </c>
      <c r="E2636">
        <v>0</v>
      </c>
      <c r="F2636">
        <v>0</v>
      </c>
      <c r="G2636">
        <v>0</v>
      </c>
      <c r="H2636">
        <v>210</v>
      </c>
      <c r="I2636" s="183" t="s">
        <v>1061</v>
      </c>
      <c r="J2636" s="183" t="s">
        <v>12067</v>
      </c>
      <c r="K2636">
        <v>0</v>
      </c>
      <c r="L2636">
        <v>210</v>
      </c>
    </row>
    <row r="2637" spans="1:12">
      <c r="A2637" s="183" t="s">
        <v>321</v>
      </c>
      <c r="B2637" s="183" t="s">
        <v>1060</v>
      </c>
      <c r="C2637">
        <v>175125180154</v>
      </c>
      <c r="D2637">
        <v>48</v>
      </c>
      <c r="E2637">
        <v>0</v>
      </c>
      <c r="F2637">
        <v>0</v>
      </c>
      <c r="G2637">
        <v>0</v>
      </c>
      <c r="H2637">
        <v>48</v>
      </c>
      <c r="I2637" s="183" t="s">
        <v>1061</v>
      </c>
      <c r="J2637" s="183" t="s">
        <v>12060</v>
      </c>
      <c r="K2637">
        <v>0</v>
      </c>
      <c r="L2637">
        <v>48</v>
      </c>
    </row>
    <row r="2638" spans="1:12">
      <c r="A2638" s="183" t="s">
        <v>322</v>
      </c>
      <c r="B2638" s="183" t="s">
        <v>1060</v>
      </c>
      <c r="C2638">
        <v>175175180154</v>
      </c>
      <c r="D2638">
        <v>195</v>
      </c>
      <c r="E2638">
        <v>0</v>
      </c>
      <c r="F2638">
        <v>1</v>
      </c>
      <c r="G2638">
        <v>0</v>
      </c>
      <c r="H2638">
        <v>196</v>
      </c>
      <c r="I2638" s="183" t="s">
        <v>1061</v>
      </c>
      <c r="J2638" s="183" t="s">
        <v>12081</v>
      </c>
      <c r="K2638">
        <v>0</v>
      </c>
      <c r="L2638">
        <v>195</v>
      </c>
    </row>
    <row r="2639" spans="1:12">
      <c r="A2639" s="183" t="s">
        <v>329</v>
      </c>
      <c r="B2639" s="183" t="s">
        <v>1060</v>
      </c>
      <c r="C2639">
        <v>250125180154</v>
      </c>
      <c r="D2639">
        <v>133</v>
      </c>
      <c r="E2639">
        <v>0</v>
      </c>
      <c r="F2639">
        <v>0</v>
      </c>
      <c r="G2639">
        <v>0</v>
      </c>
      <c r="H2639">
        <v>133</v>
      </c>
      <c r="I2639" s="183" t="s">
        <v>1061</v>
      </c>
      <c r="J2639" s="183" t="s">
        <v>12059</v>
      </c>
      <c r="K2639">
        <v>0</v>
      </c>
      <c r="L2639">
        <v>133</v>
      </c>
    </row>
    <row r="2640" spans="1:12">
      <c r="A2640" s="183" t="s">
        <v>3188</v>
      </c>
      <c r="B2640" s="183" t="s">
        <v>1060</v>
      </c>
      <c r="C2640">
        <v>300075180154</v>
      </c>
      <c r="D2640">
        <v>38</v>
      </c>
      <c r="E2640">
        <v>0</v>
      </c>
      <c r="F2640">
        <v>0</v>
      </c>
      <c r="G2640">
        <v>0</v>
      </c>
      <c r="H2640">
        <v>38</v>
      </c>
      <c r="I2640" s="183" t="s">
        <v>1061</v>
      </c>
      <c r="J2640" s="183" t="s">
        <v>12091</v>
      </c>
      <c r="K2640">
        <v>0</v>
      </c>
      <c r="L2640">
        <v>38</v>
      </c>
    </row>
    <row r="2641" spans="1:12">
      <c r="A2641" s="183" t="s">
        <v>333</v>
      </c>
      <c r="B2641" s="183" t="s">
        <v>1060</v>
      </c>
      <c r="C2641">
        <v>325075180154</v>
      </c>
      <c r="D2641">
        <v>482</v>
      </c>
      <c r="E2641">
        <v>0</v>
      </c>
      <c r="F2641">
        <v>0</v>
      </c>
      <c r="G2641">
        <v>0</v>
      </c>
      <c r="H2641">
        <v>482</v>
      </c>
      <c r="I2641" s="183" t="s">
        <v>1061</v>
      </c>
      <c r="J2641" s="183" t="s">
        <v>12081</v>
      </c>
      <c r="K2641">
        <v>0</v>
      </c>
      <c r="L2641">
        <v>482</v>
      </c>
    </row>
    <row r="2642" spans="1:12">
      <c r="A2642" s="183" t="s">
        <v>338</v>
      </c>
      <c r="B2642" s="183" t="s">
        <v>1060</v>
      </c>
      <c r="C2642">
        <v>475075180154</v>
      </c>
      <c r="D2642">
        <v>96</v>
      </c>
      <c r="E2642">
        <v>0</v>
      </c>
      <c r="F2642">
        <v>0</v>
      </c>
      <c r="G2642">
        <v>0</v>
      </c>
      <c r="H2642">
        <v>96</v>
      </c>
      <c r="I2642" s="183" t="s">
        <v>1061</v>
      </c>
      <c r="J2642" s="183" t="s">
        <v>12081</v>
      </c>
      <c r="K2642">
        <v>0</v>
      </c>
      <c r="L2642">
        <v>96</v>
      </c>
    </row>
    <row r="2643" spans="1:12">
      <c r="A2643" s="183" t="s">
        <v>346</v>
      </c>
      <c r="B2643" s="183" t="s">
        <v>1060</v>
      </c>
      <c r="C2643">
        <v>575175180154</v>
      </c>
      <c r="D2643">
        <v>53</v>
      </c>
      <c r="E2643">
        <v>0</v>
      </c>
      <c r="F2643">
        <v>0</v>
      </c>
      <c r="G2643">
        <v>0</v>
      </c>
      <c r="H2643">
        <v>53</v>
      </c>
      <c r="I2643" s="183" t="s">
        <v>1061</v>
      </c>
      <c r="J2643" s="183" t="s">
        <v>12060</v>
      </c>
      <c r="K2643">
        <v>0</v>
      </c>
      <c r="L2643">
        <v>53</v>
      </c>
    </row>
    <row r="2644" spans="1:12">
      <c r="A2644" s="183" t="s">
        <v>348</v>
      </c>
      <c r="B2644" s="183" t="s">
        <v>1060</v>
      </c>
      <c r="C2644">
        <v>650075180154</v>
      </c>
      <c r="D2644">
        <v>120</v>
      </c>
      <c r="E2644">
        <v>0</v>
      </c>
      <c r="F2644">
        <v>0</v>
      </c>
      <c r="G2644">
        <v>0</v>
      </c>
      <c r="H2644">
        <v>120</v>
      </c>
      <c r="I2644" s="183" t="s">
        <v>1061</v>
      </c>
      <c r="J2644" s="183" t="s">
        <v>12081</v>
      </c>
      <c r="K2644">
        <v>0</v>
      </c>
      <c r="L2644">
        <v>120</v>
      </c>
    </row>
    <row r="2645" spans="1:12">
      <c r="A2645" s="183" t="s">
        <v>5218</v>
      </c>
      <c r="B2645" s="183" t="s">
        <v>1060</v>
      </c>
      <c r="C2645">
        <v>650125180154</v>
      </c>
      <c r="D2645">
        <v>93</v>
      </c>
      <c r="E2645">
        <v>0</v>
      </c>
      <c r="F2645">
        <v>0</v>
      </c>
      <c r="G2645">
        <v>0</v>
      </c>
      <c r="H2645">
        <v>93</v>
      </c>
      <c r="I2645" s="183" t="s">
        <v>1061</v>
      </c>
      <c r="J2645" s="183" t="s">
        <v>12059</v>
      </c>
      <c r="K2645">
        <v>0</v>
      </c>
      <c r="L2645">
        <v>93</v>
      </c>
    </row>
    <row r="2646" spans="1:12">
      <c r="A2646" s="183" t="s">
        <v>352</v>
      </c>
      <c r="B2646" s="183" t="s">
        <v>1060</v>
      </c>
      <c r="C2646">
        <v>800075180154</v>
      </c>
      <c r="D2646">
        <v>364</v>
      </c>
      <c r="E2646">
        <v>0</v>
      </c>
      <c r="F2646">
        <v>0</v>
      </c>
      <c r="G2646">
        <v>0</v>
      </c>
      <c r="H2646">
        <v>364</v>
      </c>
      <c r="I2646" s="183" t="s">
        <v>1061</v>
      </c>
      <c r="J2646" s="183" t="s">
        <v>12095</v>
      </c>
      <c r="K2646">
        <v>0</v>
      </c>
      <c r="L2646">
        <v>364</v>
      </c>
    </row>
    <row r="2647" spans="1:12">
      <c r="A2647" s="183" t="s">
        <v>708</v>
      </c>
      <c r="B2647" s="183" t="s">
        <v>1230</v>
      </c>
      <c r="C2647">
        <v>90178206</v>
      </c>
      <c r="D2647">
        <v>462</v>
      </c>
      <c r="E2647">
        <v>0</v>
      </c>
      <c r="F2647">
        <v>0</v>
      </c>
      <c r="G2647">
        <v>0</v>
      </c>
      <c r="H2647">
        <v>462</v>
      </c>
      <c r="I2647" s="183" t="s">
        <v>990</v>
      </c>
      <c r="J2647" s="183" t="s">
        <v>12053</v>
      </c>
      <c r="K2647">
        <v>0</v>
      </c>
      <c r="L2647">
        <v>462</v>
      </c>
    </row>
    <row r="2648" spans="1:12">
      <c r="A2648" s="183" t="s">
        <v>5156</v>
      </c>
      <c r="B2648" s="183" t="s">
        <v>5157</v>
      </c>
      <c r="C2648">
        <v>90178210</v>
      </c>
      <c r="D2648">
        <v>369</v>
      </c>
      <c r="E2648">
        <v>0</v>
      </c>
      <c r="F2648">
        <v>0</v>
      </c>
      <c r="G2648">
        <v>0</v>
      </c>
      <c r="H2648">
        <v>369</v>
      </c>
      <c r="I2648" s="183" t="s">
        <v>990</v>
      </c>
      <c r="J2648" s="183" t="s">
        <v>12052</v>
      </c>
      <c r="K2648">
        <v>0</v>
      </c>
      <c r="L2648">
        <v>369</v>
      </c>
    </row>
    <row r="2649" spans="1:12">
      <c r="A2649" s="183" t="s">
        <v>3342</v>
      </c>
      <c r="B2649" s="183" t="s">
        <v>3343</v>
      </c>
      <c r="C2649">
        <v>90189205</v>
      </c>
      <c r="D2649">
        <v>479</v>
      </c>
      <c r="E2649">
        <v>0</v>
      </c>
      <c r="F2649">
        <v>0</v>
      </c>
      <c r="G2649">
        <v>0</v>
      </c>
      <c r="H2649">
        <v>479</v>
      </c>
      <c r="I2649" s="183" t="s">
        <v>1025</v>
      </c>
      <c r="J2649" s="183" t="s">
        <v>12057</v>
      </c>
      <c r="K2649">
        <v>0</v>
      </c>
      <c r="L2649">
        <v>479</v>
      </c>
    </row>
    <row r="2650" spans="1:12">
      <c r="A2650" s="183" t="s">
        <v>5132</v>
      </c>
      <c r="B2650" s="183" t="s">
        <v>5133</v>
      </c>
      <c r="C2650">
        <v>90189219</v>
      </c>
      <c r="D2650">
        <v>998</v>
      </c>
      <c r="E2650">
        <v>0</v>
      </c>
      <c r="F2650">
        <v>1</v>
      </c>
      <c r="G2650">
        <v>0</v>
      </c>
      <c r="H2650">
        <v>999</v>
      </c>
      <c r="I2650" s="183" t="s">
        <v>1025</v>
      </c>
      <c r="J2650" s="183" t="s">
        <v>12081</v>
      </c>
      <c r="K2650">
        <v>0</v>
      </c>
      <c r="L2650">
        <v>998</v>
      </c>
    </row>
    <row r="2651" spans="1:12">
      <c r="A2651" s="183" t="s">
        <v>6255</v>
      </c>
      <c r="B2651" s="183" t="s">
        <v>6256</v>
      </c>
      <c r="C2651">
        <v>90189220</v>
      </c>
      <c r="D2651" s="501">
        <v>1210</v>
      </c>
      <c r="E2651">
        <v>0</v>
      </c>
      <c r="F2651">
        <v>0</v>
      </c>
      <c r="G2651">
        <v>0</v>
      </c>
      <c r="H2651" s="501">
        <v>1210</v>
      </c>
      <c r="I2651" s="183" t="s">
        <v>1025</v>
      </c>
      <c r="J2651" s="183" t="s">
        <v>12057</v>
      </c>
      <c r="K2651">
        <v>0</v>
      </c>
      <c r="L2651" s="501">
        <v>1210</v>
      </c>
    </row>
    <row r="2652" spans="1:12">
      <c r="A2652" s="183" t="s">
        <v>5038</v>
      </c>
      <c r="B2652" s="183" t="s">
        <v>5039</v>
      </c>
      <c r="C2652">
        <v>90189234</v>
      </c>
      <c r="D2652">
        <v>375</v>
      </c>
      <c r="E2652">
        <v>0</v>
      </c>
      <c r="F2652">
        <v>1</v>
      </c>
      <c r="G2652">
        <v>0</v>
      </c>
      <c r="H2652">
        <v>376</v>
      </c>
      <c r="I2652" s="183" t="s">
        <v>1025</v>
      </c>
      <c r="J2652" s="183" t="s">
        <v>12056</v>
      </c>
      <c r="K2652">
        <v>0</v>
      </c>
      <c r="L2652">
        <v>375</v>
      </c>
    </row>
    <row r="2653" spans="1:12">
      <c r="A2653" s="183" t="s">
        <v>6130</v>
      </c>
      <c r="B2653" s="183" t="s">
        <v>6131</v>
      </c>
      <c r="C2653">
        <v>90179211</v>
      </c>
      <c r="D2653">
        <v>506</v>
      </c>
      <c r="E2653">
        <v>0</v>
      </c>
      <c r="F2653">
        <v>0</v>
      </c>
      <c r="G2653">
        <v>0</v>
      </c>
      <c r="H2653">
        <v>506</v>
      </c>
      <c r="I2653" s="183" t="s">
        <v>1067</v>
      </c>
      <c r="J2653" s="183" t="s">
        <v>12095</v>
      </c>
      <c r="K2653">
        <v>0</v>
      </c>
      <c r="L2653">
        <v>506</v>
      </c>
    </row>
    <row r="2654" spans="1:12">
      <c r="A2654" s="183" t="s">
        <v>6288</v>
      </c>
      <c r="B2654" s="183" t="s">
        <v>6289</v>
      </c>
      <c r="C2654">
        <v>90179220</v>
      </c>
      <c r="D2654" s="501">
        <v>1295</v>
      </c>
      <c r="E2654">
        <v>0</v>
      </c>
      <c r="F2654">
        <v>0</v>
      </c>
      <c r="G2654">
        <v>0</v>
      </c>
      <c r="H2654" s="501">
        <v>1295</v>
      </c>
      <c r="I2654" s="183" t="s">
        <v>1067</v>
      </c>
      <c r="J2654" s="183" t="s">
        <v>12067</v>
      </c>
      <c r="K2654">
        <v>0</v>
      </c>
      <c r="L2654" s="501">
        <v>1295</v>
      </c>
    </row>
    <row r="2655" spans="1:12">
      <c r="A2655" s="183" t="s">
        <v>5239</v>
      </c>
      <c r="B2655" s="183" t="s">
        <v>5240</v>
      </c>
      <c r="C2655">
        <v>90179224</v>
      </c>
      <c r="D2655">
        <v>852</v>
      </c>
      <c r="E2655">
        <v>0</v>
      </c>
      <c r="F2655">
        <v>0</v>
      </c>
      <c r="G2655">
        <v>0</v>
      </c>
      <c r="H2655">
        <v>852</v>
      </c>
      <c r="I2655" s="183" t="s">
        <v>1067</v>
      </c>
      <c r="J2655" s="183" t="s">
        <v>12059</v>
      </c>
      <c r="K2655">
        <v>0</v>
      </c>
      <c r="L2655">
        <v>852</v>
      </c>
    </row>
    <row r="2656" spans="1:12">
      <c r="A2656" s="183" t="s">
        <v>705</v>
      </c>
      <c r="B2656" s="183" t="s">
        <v>1138</v>
      </c>
      <c r="C2656">
        <v>90179234</v>
      </c>
      <c r="D2656">
        <v>256</v>
      </c>
      <c r="E2656">
        <v>0</v>
      </c>
      <c r="F2656">
        <v>0</v>
      </c>
      <c r="G2656">
        <v>0</v>
      </c>
      <c r="H2656">
        <v>256</v>
      </c>
      <c r="I2656" s="183" t="s">
        <v>1067</v>
      </c>
      <c r="J2656" s="183" t="s">
        <v>12094</v>
      </c>
      <c r="K2656">
        <v>0</v>
      </c>
      <c r="L2656">
        <v>256</v>
      </c>
    </row>
    <row r="2657" spans="1:12">
      <c r="A2657" s="183" t="s">
        <v>839</v>
      </c>
      <c r="B2657" s="183" t="s">
        <v>1054</v>
      </c>
      <c r="C2657">
        <v>150175180159</v>
      </c>
      <c r="D2657">
        <v>115</v>
      </c>
      <c r="E2657">
        <v>0</v>
      </c>
      <c r="F2657">
        <v>0</v>
      </c>
      <c r="G2657">
        <v>0</v>
      </c>
      <c r="H2657">
        <v>115</v>
      </c>
      <c r="I2657" s="183" t="s">
        <v>1055</v>
      </c>
      <c r="J2657" s="183" t="s">
        <v>12066</v>
      </c>
      <c r="K2657">
        <v>0</v>
      </c>
      <c r="L2657">
        <v>115</v>
      </c>
    </row>
    <row r="2658" spans="1:12">
      <c r="A2658" s="183" t="s">
        <v>840</v>
      </c>
      <c r="B2658" s="183" t="s">
        <v>1054</v>
      </c>
      <c r="C2658">
        <v>175175180159</v>
      </c>
      <c r="D2658">
        <v>104</v>
      </c>
      <c r="E2658">
        <v>0</v>
      </c>
      <c r="F2658">
        <v>0</v>
      </c>
      <c r="G2658">
        <v>0</v>
      </c>
      <c r="H2658">
        <v>104</v>
      </c>
      <c r="I2658" s="183" t="s">
        <v>1055</v>
      </c>
      <c r="J2658" s="183" t="s">
        <v>12094</v>
      </c>
      <c r="K2658">
        <v>0</v>
      </c>
      <c r="L2658">
        <v>104</v>
      </c>
    </row>
    <row r="2659" spans="1:12">
      <c r="A2659" s="183" t="s">
        <v>841</v>
      </c>
      <c r="B2659" s="183" t="s">
        <v>1054</v>
      </c>
      <c r="C2659">
        <v>200075180159</v>
      </c>
      <c r="D2659">
        <v>386</v>
      </c>
      <c r="E2659">
        <v>0</v>
      </c>
      <c r="F2659">
        <v>0</v>
      </c>
      <c r="G2659">
        <v>0</v>
      </c>
      <c r="H2659">
        <v>386</v>
      </c>
      <c r="I2659" s="183" t="s">
        <v>1055</v>
      </c>
      <c r="J2659" s="183" t="s">
        <v>12094</v>
      </c>
      <c r="K2659">
        <v>0</v>
      </c>
      <c r="L2659">
        <v>386</v>
      </c>
    </row>
    <row r="2660" spans="1:12">
      <c r="A2660" s="183" t="s">
        <v>842</v>
      </c>
      <c r="B2660" s="183" t="s">
        <v>1054</v>
      </c>
      <c r="C2660">
        <v>225075180159</v>
      </c>
      <c r="D2660">
        <v>315</v>
      </c>
      <c r="E2660">
        <v>0</v>
      </c>
      <c r="F2660">
        <v>0</v>
      </c>
      <c r="G2660">
        <v>0</v>
      </c>
      <c r="H2660">
        <v>315</v>
      </c>
      <c r="I2660" s="183" t="s">
        <v>1055</v>
      </c>
      <c r="J2660" s="183" t="s">
        <v>12085</v>
      </c>
      <c r="K2660">
        <v>0</v>
      </c>
      <c r="L2660">
        <v>315</v>
      </c>
    </row>
    <row r="2661" spans="1:12">
      <c r="A2661" s="183" t="s">
        <v>3213</v>
      </c>
      <c r="B2661" s="183" t="s">
        <v>1054</v>
      </c>
      <c r="C2661">
        <v>375125180159</v>
      </c>
      <c r="D2661">
        <v>259</v>
      </c>
      <c r="E2661">
        <v>0</v>
      </c>
      <c r="F2661">
        <v>0</v>
      </c>
      <c r="G2661">
        <v>0</v>
      </c>
      <c r="H2661">
        <v>259</v>
      </c>
      <c r="I2661" s="183" t="s">
        <v>1055</v>
      </c>
      <c r="J2661" s="183" t="s">
        <v>12092</v>
      </c>
      <c r="K2661">
        <v>0</v>
      </c>
      <c r="L2661">
        <v>259</v>
      </c>
    </row>
    <row r="2662" spans="1:12">
      <c r="A2662" s="183" t="s">
        <v>3209</v>
      </c>
      <c r="B2662" s="183" t="s">
        <v>1054</v>
      </c>
      <c r="C2662">
        <v>375175180159</v>
      </c>
      <c r="D2662">
        <v>226</v>
      </c>
      <c r="E2662">
        <v>0</v>
      </c>
      <c r="F2662">
        <v>0</v>
      </c>
      <c r="G2662">
        <v>0</v>
      </c>
      <c r="H2662">
        <v>226</v>
      </c>
      <c r="I2662" s="183" t="s">
        <v>1055</v>
      </c>
      <c r="J2662" s="183" t="s">
        <v>12093</v>
      </c>
      <c r="K2662">
        <v>0</v>
      </c>
      <c r="L2662">
        <v>226</v>
      </c>
    </row>
    <row r="2663" spans="1:12">
      <c r="A2663" s="183" t="s">
        <v>843</v>
      </c>
      <c r="B2663" s="183" t="s">
        <v>1054</v>
      </c>
      <c r="C2663">
        <v>400075180159</v>
      </c>
      <c r="D2663">
        <v>227</v>
      </c>
      <c r="E2663">
        <v>0</v>
      </c>
      <c r="F2663">
        <v>0</v>
      </c>
      <c r="G2663">
        <v>0</v>
      </c>
      <c r="H2663">
        <v>227</v>
      </c>
      <c r="I2663" s="183" t="s">
        <v>1055</v>
      </c>
      <c r="J2663" s="183" t="s">
        <v>12093</v>
      </c>
      <c r="K2663">
        <v>0</v>
      </c>
      <c r="L2663">
        <v>227</v>
      </c>
    </row>
    <row r="2664" spans="1:12">
      <c r="A2664" s="183" t="s">
        <v>844</v>
      </c>
      <c r="B2664" s="183" t="s">
        <v>1054</v>
      </c>
      <c r="C2664">
        <v>475075180159</v>
      </c>
      <c r="D2664">
        <v>286</v>
      </c>
      <c r="E2664">
        <v>0</v>
      </c>
      <c r="F2664">
        <v>0</v>
      </c>
      <c r="G2664">
        <v>0</v>
      </c>
      <c r="H2664">
        <v>286</v>
      </c>
      <c r="I2664" s="183" t="s">
        <v>1055</v>
      </c>
      <c r="J2664" s="183" t="s">
        <v>12093</v>
      </c>
      <c r="K2664">
        <v>0</v>
      </c>
      <c r="L2664">
        <v>286</v>
      </c>
    </row>
    <row r="2665" spans="1:12">
      <c r="A2665" s="183" t="s">
        <v>845</v>
      </c>
      <c r="B2665" s="183" t="s">
        <v>1054</v>
      </c>
      <c r="C2665">
        <v>550075180159</v>
      </c>
      <c r="D2665">
        <v>228</v>
      </c>
      <c r="E2665">
        <v>0</v>
      </c>
      <c r="F2665">
        <v>0</v>
      </c>
      <c r="G2665">
        <v>0</v>
      </c>
      <c r="H2665">
        <v>228</v>
      </c>
      <c r="I2665" s="183" t="s">
        <v>1055</v>
      </c>
      <c r="J2665" s="183" t="s">
        <v>12087</v>
      </c>
      <c r="K2665">
        <v>0</v>
      </c>
      <c r="L2665">
        <v>228</v>
      </c>
    </row>
    <row r="2666" spans="1:12">
      <c r="A2666" s="183" t="s">
        <v>3175</v>
      </c>
      <c r="B2666" s="183" t="s">
        <v>1054</v>
      </c>
      <c r="C2666">
        <v>750175180159</v>
      </c>
      <c r="D2666">
        <v>79</v>
      </c>
      <c r="E2666">
        <v>0</v>
      </c>
      <c r="F2666">
        <v>0</v>
      </c>
      <c r="G2666">
        <v>0</v>
      </c>
      <c r="H2666">
        <v>79</v>
      </c>
      <c r="I2666" s="183" t="s">
        <v>1055</v>
      </c>
      <c r="J2666" s="183" t="s">
        <v>12095</v>
      </c>
      <c r="K2666">
        <v>0</v>
      </c>
      <c r="L2666">
        <v>79</v>
      </c>
    </row>
    <row r="2667" spans="1:12">
      <c r="A2667" s="183" t="s">
        <v>846</v>
      </c>
      <c r="B2667" s="183" t="s">
        <v>1054</v>
      </c>
      <c r="C2667">
        <v>900175180159</v>
      </c>
      <c r="D2667">
        <v>129</v>
      </c>
      <c r="E2667">
        <v>0</v>
      </c>
      <c r="F2667">
        <v>0</v>
      </c>
      <c r="G2667">
        <v>0</v>
      </c>
      <c r="H2667">
        <v>129</v>
      </c>
      <c r="I2667" s="183" t="s">
        <v>1055</v>
      </c>
      <c r="J2667" s="183" t="s">
        <v>12054</v>
      </c>
      <c r="K2667">
        <v>0</v>
      </c>
      <c r="L2667">
        <v>129</v>
      </c>
    </row>
    <row r="2668" spans="1:12">
      <c r="A2668" s="183" t="s">
        <v>6189</v>
      </c>
      <c r="B2668" s="183" t="s">
        <v>6190</v>
      </c>
      <c r="C2668">
        <v>64000205</v>
      </c>
      <c r="D2668">
        <v>195</v>
      </c>
      <c r="E2668">
        <v>0</v>
      </c>
      <c r="F2668">
        <v>34</v>
      </c>
      <c r="G2668">
        <v>0</v>
      </c>
      <c r="H2668">
        <v>229</v>
      </c>
      <c r="I2668" s="183" t="s">
        <v>1000</v>
      </c>
      <c r="J2668" s="183" t="s">
        <v>12081</v>
      </c>
      <c r="K2668">
        <v>0</v>
      </c>
      <c r="L2668">
        <v>195</v>
      </c>
    </row>
    <row r="2669" spans="1:12">
      <c r="A2669" s="183" t="s">
        <v>1246</v>
      </c>
      <c r="B2669" s="183" t="s">
        <v>1247</v>
      </c>
      <c r="C2669">
        <v>64000223</v>
      </c>
      <c r="D2669">
        <v>125</v>
      </c>
      <c r="E2669">
        <v>0</v>
      </c>
      <c r="F2669">
        <v>6</v>
      </c>
      <c r="G2669">
        <v>0</v>
      </c>
      <c r="H2669">
        <v>131</v>
      </c>
      <c r="I2669" s="183" t="s">
        <v>1000</v>
      </c>
      <c r="J2669" s="183" t="s">
        <v>12053</v>
      </c>
      <c r="K2669">
        <v>0</v>
      </c>
      <c r="L2669">
        <v>125</v>
      </c>
    </row>
    <row r="2670" spans="1:12">
      <c r="A2670" s="183" t="s">
        <v>6257</v>
      </c>
      <c r="B2670" s="183" t="s">
        <v>6258</v>
      </c>
      <c r="C2670">
        <v>64000226</v>
      </c>
      <c r="D2670">
        <v>228</v>
      </c>
      <c r="E2670">
        <v>0</v>
      </c>
      <c r="F2670">
        <v>0</v>
      </c>
      <c r="G2670">
        <v>0</v>
      </c>
      <c r="H2670">
        <v>228</v>
      </c>
      <c r="I2670" s="183" t="s">
        <v>1000</v>
      </c>
      <c r="J2670" s="183" t="s">
        <v>12048</v>
      </c>
      <c r="K2670">
        <v>0</v>
      </c>
      <c r="L2670">
        <v>228</v>
      </c>
    </row>
    <row r="2671" spans="1:12">
      <c r="A2671" s="183" t="s">
        <v>1044</v>
      </c>
      <c r="B2671" s="183" t="s">
        <v>1045</v>
      </c>
      <c r="C2671">
        <v>64000234</v>
      </c>
      <c r="D2671">
        <v>66</v>
      </c>
      <c r="E2671">
        <v>0</v>
      </c>
      <c r="F2671">
        <v>2</v>
      </c>
      <c r="G2671">
        <v>0</v>
      </c>
      <c r="H2671">
        <v>68</v>
      </c>
      <c r="I2671" s="183" t="s">
        <v>1000</v>
      </c>
      <c r="J2671" s="183" t="s">
        <v>12081</v>
      </c>
      <c r="K2671">
        <v>0</v>
      </c>
      <c r="L2671">
        <v>66</v>
      </c>
    </row>
    <row r="2672" spans="1:12">
      <c r="A2672" s="183" t="s">
        <v>5860</v>
      </c>
      <c r="B2672" s="183" t="s">
        <v>5861</v>
      </c>
      <c r="C2672">
        <v>63010200</v>
      </c>
      <c r="D2672">
        <v>315</v>
      </c>
      <c r="E2672">
        <v>0</v>
      </c>
      <c r="F2672">
        <v>0</v>
      </c>
      <c r="G2672">
        <v>0</v>
      </c>
      <c r="H2672">
        <v>315</v>
      </c>
      <c r="I2672" s="183" t="s">
        <v>988</v>
      </c>
      <c r="J2672" s="183" t="s">
        <v>12053</v>
      </c>
      <c r="K2672">
        <v>0</v>
      </c>
      <c r="L2672">
        <v>315</v>
      </c>
    </row>
    <row r="2673" spans="1:12">
      <c r="A2673" s="183" t="s">
        <v>5046</v>
      </c>
      <c r="B2673" s="183" t="s">
        <v>5047</v>
      </c>
      <c r="C2673">
        <v>63010202</v>
      </c>
      <c r="D2673">
        <v>557</v>
      </c>
      <c r="E2673">
        <v>0</v>
      </c>
      <c r="F2673">
        <v>1</v>
      </c>
      <c r="G2673">
        <v>0</v>
      </c>
      <c r="H2673">
        <v>558</v>
      </c>
      <c r="I2673" s="183" t="s">
        <v>988</v>
      </c>
      <c r="J2673" s="183" t="s">
        <v>12053</v>
      </c>
      <c r="K2673">
        <v>0</v>
      </c>
      <c r="L2673">
        <v>557</v>
      </c>
    </row>
    <row r="2674" spans="1:12">
      <c r="A2674" s="183" t="s">
        <v>714</v>
      </c>
      <c r="B2674" s="183" t="s">
        <v>1038</v>
      </c>
      <c r="C2674">
        <v>63010208</v>
      </c>
      <c r="D2674">
        <v>451</v>
      </c>
      <c r="E2674">
        <v>0</v>
      </c>
      <c r="F2674">
        <v>0</v>
      </c>
      <c r="G2674">
        <v>0</v>
      </c>
      <c r="H2674">
        <v>451</v>
      </c>
      <c r="I2674" s="183" t="s">
        <v>988</v>
      </c>
      <c r="J2674" s="183" t="s">
        <v>12093</v>
      </c>
      <c r="K2674">
        <v>0</v>
      </c>
      <c r="L2674">
        <v>451</v>
      </c>
    </row>
    <row r="2675" spans="1:12">
      <c r="A2675" s="183" t="s">
        <v>6259</v>
      </c>
      <c r="B2675" s="183" t="s">
        <v>6260</v>
      </c>
      <c r="C2675">
        <v>63010222</v>
      </c>
      <c r="D2675">
        <v>63</v>
      </c>
      <c r="E2675">
        <v>0</v>
      </c>
      <c r="F2675">
        <v>0</v>
      </c>
      <c r="G2675">
        <v>0</v>
      </c>
      <c r="H2675">
        <v>63</v>
      </c>
      <c r="I2675" s="183" t="s">
        <v>988</v>
      </c>
      <c r="J2675" s="183" t="s">
        <v>12048</v>
      </c>
      <c r="K2675">
        <v>0</v>
      </c>
      <c r="L2675">
        <v>63</v>
      </c>
    </row>
    <row r="2676" spans="1:12">
      <c r="A2676" s="183" t="s">
        <v>378</v>
      </c>
      <c r="B2676" s="183" t="s">
        <v>1232</v>
      </c>
      <c r="C2676">
        <v>63010234</v>
      </c>
      <c r="D2676">
        <v>577</v>
      </c>
      <c r="E2676">
        <v>0</v>
      </c>
      <c r="F2676">
        <v>0</v>
      </c>
      <c r="G2676">
        <v>0</v>
      </c>
      <c r="H2676">
        <v>577</v>
      </c>
      <c r="I2676" s="183" t="s">
        <v>988</v>
      </c>
      <c r="J2676" s="183" t="s">
        <v>12094</v>
      </c>
      <c r="K2676">
        <v>0</v>
      </c>
      <c r="L2676">
        <v>577</v>
      </c>
    </row>
    <row r="2677" spans="1:12">
      <c r="A2677" s="183" t="s">
        <v>6290</v>
      </c>
      <c r="B2677" s="183" t="s">
        <v>6291</v>
      </c>
      <c r="C2677">
        <v>63010204</v>
      </c>
      <c r="D2677">
        <v>362</v>
      </c>
      <c r="E2677">
        <v>0</v>
      </c>
      <c r="F2677">
        <v>0</v>
      </c>
      <c r="G2677">
        <v>0</v>
      </c>
      <c r="H2677">
        <v>362</v>
      </c>
      <c r="I2677" s="183" t="s">
        <v>988</v>
      </c>
      <c r="J2677" s="183" t="s">
        <v>12094</v>
      </c>
      <c r="K2677">
        <v>0</v>
      </c>
      <c r="L2677">
        <v>362</v>
      </c>
    </row>
    <row r="2678" spans="1:12">
      <c r="A2678" s="183" t="s">
        <v>363</v>
      </c>
      <c r="B2678" s="183" t="s">
        <v>1086</v>
      </c>
      <c r="C2678">
        <v>63010205</v>
      </c>
      <c r="D2678">
        <v>123</v>
      </c>
      <c r="E2678">
        <v>0</v>
      </c>
      <c r="F2678">
        <v>0</v>
      </c>
      <c r="G2678">
        <v>0</v>
      </c>
      <c r="H2678">
        <v>123</v>
      </c>
      <c r="I2678" s="183" t="s">
        <v>988</v>
      </c>
      <c r="J2678" s="183" t="s">
        <v>12092</v>
      </c>
      <c r="K2678">
        <v>0</v>
      </c>
      <c r="L2678">
        <v>123</v>
      </c>
    </row>
    <row r="2679" spans="1:12">
      <c r="A2679" s="183" t="s">
        <v>6274</v>
      </c>
      <c r="B2679" s="183" t="s">
        <v>6275</v>
      </c>
      <c r="C2679">
        <v>63010213</v>
      </c>
      <c r="D2679">
        <v>38</v>
      </c>
      <c r="E2679">
        <v>0</v>
      </c>
      <c r="F2679">
        <v>0</v>
      </c>
      <c r="G2679">
        <v>0</v>
      </c>
      <c r="H2679">
        <v>38</v>
      </c>
      <c r="I2679" s="183" t="s">
        <v>988</v>
      </c>
      <c r="J2679" s="183" t="s">
        <v>12095</v>
      </c>
      <c r="K2679">
        <v>0</v>
      </c>
      <c r="L2679">
        <v>38</v>
      </c>
    </row>
    <row r="2680" spans="1:12">
      <c r="A2680" s="183" t="s">
        <v>374</v>
      </c>
      <c r="B2680" s="183" t="s">
        <v>1348</v>
      </c>
      <c r="C2680">
        <v>63010224</v>
      </c>
      <c r="D2680">
        <v>201</v>
      </c>
      <c r="E2680">
        <v>0</v>
      </c>
      <c r="F2680">
        <v>0</v>
      </c>
      <c r="G2680">
        <v>0</v>
      </c>
      <c r="H2680">
        <v>201</v>
      </c>
      <c r="I2680" s="183" t="s">
        <v>988</v>
      </c>
      <c r="J2680" s="183" t="s">
        <v>12094</v>
      </c>
      <c r="K2680">
        <v>0</v>
      </c>
      <c r="L2680">
        <v>201</v>
      </c>
    </row>
    <row r="2681" spans="1:12">
      <c r="A2681" s="183" t="s">
        <v>3124</v>
      </c>
      <c r="B2681" s="183" t="s">
        <v>3125</v>
      </c>
      <c r="C2681">
        <v>90180224</v>
      </c>
      <c r="D2681">
        <v>287</v>
      </c>
      <c r="E2681">
        <v>0</v>
      </c>
      <c r="F2681">
        <v>0</v>
      </c>
      <c r="G2681">
        <v>0</v>
      </c>
      <c r="H2681">
        <v>287</v>
      </c>
      <c r="I2681" s="183" t="s">
        <v>1020</v>
      </c>
      <c r="J2681" s="183" t="s">
        <v>12094</v>
      </c>
      <c r="K2681">
        <v>0</v>
      </c>
      <c r="L2681">
        <v>287</v>
      </c>
    </row>
    <row r="2682" spans="1:12">
      <c r="A2682" s="183" t="s">
        <v>5748</v>
      </c>
      <c r="B2682" s="183" t="s">
        <v>8644</v>
      </c>
      <c r="C2682">
        <v>8800322942949</v>
      </c>
      <c r="D2682">
        <v>762</v>
      </c>
      <c r="E2682">
        <v>0</v>
      </c>
      <c r="F2682">
        <v>1</v>
      </c>
      <c r="G2682">
        <v>0</v>
      </c>
      <c r="H2682">
        <v>763</v>
      </c>
      <c r="I2682" s="183" t="s">
        <v>5710</v>
      </c>
      <c r="J2682" s="183" t="s">
        <v>12063</v>
      </c>
      <c r="K2682">
        <v>0</v>
      </c>
      <c r="L2682">
        <v>762</v>
      </c>
    </row>
    <row r="2683" spans="1:12">
      <c r="A2683" s="183" t="s">
        <v>5749</v>
      </c>
      <c r="B2683" s="183" t="s">
        <v>8644</v>
      </c>
      <c r="C2683">
        <v>8800322943007</v>
      </c>
      <c r="D2683">
        <v>581</v>
      </c>
      <c r="E2683">
        <v>0</v>
      </c>
      <c r="F2683">
        <v>0</v>
      </c>
      <c r="G2683">
        <v>0</v>
      </c>
      <c r="H2683">
        <v>581</v>
      </c>
      <c r="I2683" s="183" t="s">
        <v>5710</v>
      </c>
      <c r="J2683" s="183" t="s">
        <v>12095</v>
      </c>
      <c r="K2683">
        <v>0</v>
      </c>
      <c r="L2683">
        <v>581</v>
      </c>
    </row>
    <row r="2684" spans="1:12">
      <c r="A2684" s="183" t="s">
        <v>5750</v>
      </c>
      <c r="B2684" s="183" t="s">
        <v>8644</v>
      </c>
      <c r="C2684">
        <v>8800322943021</v>
      </c>
      <c r="D2684">
        <v>724</v>
      </c>
      <c r="E2684">
        <v>0</v>
      </c>
      <c r="F2684">
        <v>0</v>
      </c>
      <c r="G2684">
        <v>0</v>
      </c>
      <c r="H2684">
        <v>724</v>
      </c>
      <c r="I2684" s="183" t="s">
        <v>5710</v>
      </c>
      <c r="J2684" s="183" t="s">
        <v>12055</v>
      </c>
      <c r="K2684">
        <v>0</v>
      </c>
      <c r="L2684">
        <v>724</v>
      </c>
    </row>
    <row r="2685" spans="1:12">
      <c r="A2685" s="183" t="s">
        <v>5751</v>
      </c>
      <c r="B2685" s="183" t="s">
        <v>8644</v>
      </c>
      <c r="C2685">
        <v>8800322943052</v>
      </c>
      <c r="D2685">
        <v>575</v>
      </c>
      <c r="E2685">
        <v>0</v>
      </c>
      <c r="F2685">
        <v>0</v>
      </c>
      <c r="G2685">
        <v>0</v>
      </c>
      <c r="H2685">
        <v>575</v>
      </c>
      <c r="I2685" s="183" t="s">
        <v>5710</v>
      </c>
      <c r="J2685" s="183" t="s">
        <v>12063</v>
      </c>
      <c r="K2685">
        <v>0</v>
      </c>
      <c r="L2685">
        <v>575</v>
      </c>
    </row>
    <row r="2686" spans="1:12">
      <c r="A2686" s="183" t="s">
        <v>5837</v>
      </c>
      <c r="B2686" s="183" t="s">
        <v>8646</v>
      </c>
      <c r="C2686">
        <v>8800322943212</v>
      </c>
      <c r="D2686">
        <v>559</v>
      </c>
      <c r="E2686">
        <v>0</v>
      </c>
      <c r="F2686">
        <v>0</v>
      </c>
      <c r="G2686">
        <v>0</v>
      </c>
      <c r="H2686">
        <v>559</v>
      </c>
      <c r="I2686" s="183" t="s">
        <v>5720</v>
      </c>
      <c r="J2686" s="183" t="s">
        <v>12057</v>
      </c>
      <c r="K2686">
        <v>0</v>
      </c>
      <c r="L2686">
        <v>559</v>
      </c>
    </row>
    <row r="2687" spans="1:12">
      <c r="A2687" s="183" t="s">
        <v>5752</v>
      </c>
      <c r="B2687" s="183" t="s">
        <v>8646</v>
      </c>
      <c r="C2687">
        <v>8800322943229</v>
      </c>
      <c r="D2687">
        <v>568</v>
      </c>
      <c r="E2687">
        <v>0</v>
      </c>
      <c r="F2687">
        <v>0</v>
      </c>
      <c r="G2687">
        <v>0</v>
      </c>
      <c r="H2687">
        <v>568</v>
      </c>
      <c r="I2687" s="183" t="s">
        <v>5720</v>
      </c>
      <c r="J2687" s="183" t="s">
        <v>12063</v>
      </c>
      <c r="K2687">
        <v>0</v>
      </c>
      <c r="L2687">
        <v>568</v>
      </c>
    </row>
    <row r="2688" spans="1:12">
      <c r="A2688" s="183" t="s">
        <v>6394</v>
      </c>
      <c r="B2688" s="183" t="s">
        <v>8646</v>
      </c>
      <c r="C2688">
        <v>8800322943274</v>
      </c>
      <c r="D2688">
        <v>543</v>
      </c>
      <c r="E2688">
        <v>0</v>
      </c>
      <c r="F2688">
        <v>0</v>
      </c>
      <c r="G2688">
        <v>0</v>
      </c>
      <c r="H2688">
        <v>543</v>
      </c>
      <c r="I2688" s="183" t="s">
        <v>5720</v>
      </c>
      <c r="J2688" s="183" t="s">
        <v>12066</v>
      </c>
      <c r="K2688">
        <v>0</v>
      </c>
      <c r="L2688">
        <v>543</v>
      </c>
    </row>
    <row r="2689" spans="1:12">
      <c r="A2689" s="183" t="s">
        <v>5753</v>
      </c>
      <c r="B2689" s="183" t="s">
        <v>8646</v>
      </c>
      <c r="C2689">
        <v>8800322943328</v>
      </c>
      <c r="D2689">
        <v>560</v>
      </c>
      <c r="E2689">
        <v>0</v>
      </c>
      <c r="F2689">
        <v>0</v>
      </c>
      <c r="G2689">
        <v>0</v>
      </c>
      <c r="H2689">
        <v>560</v>
      </c>
      <c r="I2689" s="183" t="s">
        <v>5720</v>
      </c>
      <c r="J2689" s="183" t="s">
        <v>12048</v>
      </c>
      <c r="K2689">
        <v>0</v>
      </c>
      <c r="L2689">
        <v>560</v>
      </c>
    </row>
    <row r="2690" spans="1:12">
      <c r="A2690" s="183" t="s">
        <v>5838</v>
      </c>
      <c r="B2690" s="183" t="s">
        <v>8646</v>
      </c>
      <c r="C2690">
        <v>8800322943366</v>
      </c>
      <c r="D2690">
        <v>600</v>
      </c>
      <c r="E2690">
        <v>0</v>
      </c>
      <c r="F2690">
        <v>0</v>
      </c>
      <c r="G2690">
        <v>0</v>
      </c>
      <c r="H2690">
        <v>600</v>
      </c>
      <c r="I2690" s="183" t="s">
        <v>5720</v>
      </c>
      <c r="J2690" s="183" t="s">
        <v>12048</v>
      </c>
      <c r="K2690">
        <v>0</v>
      </c>
      <c r="L2690">
        <v>600</v>
      </c>
    </row>
    <row r="2691" spans="1:12">
      <c r="A2691" s="183" t="s">
        <v>5754</v>
      </c>
      <c r="B2691" s="183" t="s">
        <v>8645</v>
      </c>
      <c r="C2691">
        <v>8800322943458</v>
      </c>
      <c r="D2691">
        <v>569</v>
      </c>
      <c r="E2691">
        <v>0</v>
      </c>
      <c r="F2691">
        <v>0</v>
      </c>
      <c r="G2691">
        <v>0</v>
      </c>
      <c r="H2691">
        <v>569</v>
      </c>
      <c r="I2691" s="183" t="s">
        <v>5712</v>
      </c>
      <c r="J2691" s="183" t="s">
        <v>12063</v>
      </c>
      <c r="K2691">
        <v>0</v>
      </c>
      <c r="L2691">
        <v>569</v>
      </c>
    </row>
    <row r="2692" spans="1:12">
      <c r="A2692" s="183" t="s">
        <v>7286</v>
      </c>
      <c r="B2692" s="183" t="s">
        <v>8645</v>
      </c>
      <c r="C2692">
        <v>8800322943618</v>
      </c>
      <c r="D2692">
        <v>438</v>
      </c>
      <c r="E2692">
        <v>0</v>
      </c>
      <c r="F2692">
        <v>0</v>
      </c>
      <c r="G2692">
        <v>0</v>
      </c>
      <c r="H2692">
        <v>438</v>
      </c>
      <c r="I2692" s="183" t="s">
        <v>5712</v>
      </c>
      <c r="J2692" s="183" t="s">
        <v>12063</v>
      </c>
      <c r="K2692">
        <v>0</v>
      </c>
      <c r="L2692">
        <v>438</v>
      </c>
    </row>
    <row r="2693" spans="1:12">
      <c r="A2693" s="183" t="s">
        <v>5839</v>
      </c>
      <c r="B2693" s="183" t="s">
        <v>8645</v>
      </c>
      <c r="C2693">
        <v>8800322943656</v>
      </c>
      <c r="D2693">
        <v>514</v>
      </c>
      <c r="E2693">
        <v>0</v>
      </c>
      <c r="F2693">
        <v>0</v>
      </c>
      <c r="G2693">
        <v>0</v>
      </c>
      <c r="H2693">
        <v>514</v>
      </c>
      <c r="I2693" s="183" t="s">
        <v>5712</v>
      </c>
      <c r="J2693" s="183" t="s">
        <v>12066</v>
      </c>
      <c r="K2693">
        <v>0</v>
      </c>
      <c r="L2693">
        <v>514</v>
      </c>
    </row>
    <row r="2694" spans="1:12">
      <c r="A2694" s="183" t="s">
        <v>392</v>
      </c>
      <c r="B2694" s="183" t="s">
        <v>393</v>
      </c>
      <c r="C2694">
        <v>80172223</v>
      </c>
      <c r="D2694">
        <v>888</v>
      </c>
      <c r="E2694">
        <v>0</v>
      </c>
      <c r="F2694">
        <v>0</v>
      </c>
      <c r="G2694">
        <v>0</v>
      </c>
      <c r="H2694">
        <v>888</v>
      </c>
      <c r="I2694" s="183" t="s">
        <v>1058</v>
      </c>
      <c r="J2694" s="183" t="s">
        <v>12081</v>
      </c>
      <c r="K2694">
        <v>0</v>
      </c>
      <c r="L2694">
        <v>888</v>
      </c>
    </row>
    <row r="2695" spans="1:12">
      <c r="A2695" s="183" t="s">
        <v>6857</v>
      </c>
      <c r="B2695" s="183" t="s">
        <v>6858</v>
      </c>
      <c r="C2695">
        <v>80172244</v>
      </c>
      <c r="D2695">
        <v>99</v>
      </c>
      <c r="E2695">
        <v>0</v>
      </c>
      <c r="F2695">
        <v>0</v>
      </c>
      <c r="G2695">
        <v>0</v>
      </c>
      <c r="H2695">
        <v>99</v>
      </c>
      <c r="I2695" s="183" t="s">
        <v>1058</v>
      </c>
      <c r="J2695" s="183" t="s">
        <v>12081</v>
      </c>
      <c r="K2695">
        <v>0</v>
      </c>
      <c r="L2695">
        <v>99</v>
      </c>
    </row>
    <row r="2696" spans="1:12">
      <c r="A2696" s="183" t="s">
        <v>6402</v>
      </c>
      <c r="B2696" s="183" t="s">
        <v>6338</v>
      </c>
      <c r="C2696">
        <v>8800358433510</v>
      </c>
      <c r="D2696">
        <v>637</v>
      </c>
      <c r="E2696">
        <v>0</v>
      </c>
      <c r="F2696">
        <v>0</v>
      </c>
      <c r="G2696">
        <v>0</v>
      </c>
      <c r="H2696">
        <v>637</v>
      </c>
      <c r="I2696" s="183" t="s">
        <v>6400</v>
      </c>
      <c r="J2696" s="183" t="s">
        <v>12066</v>
      </c>
      <c r="K2696">
        <v>0</v>
      </c>
      <c r="L2696">
        <v>637</v>
      </c>
    </row>
    <row r="2697" spans="1:12">
      <c r="A2697" s="183" t="s">
        <v>7548</v>
      </c>
      <c r="B2697" s="183" t="s">
        <v>6338</v>
      </c>
      <c r="C2697">
        <v>8800358433565</v>
      </c>
      <c r="D2697">
        <v>172</v>
      </c>
      <c r="E2697">
        <v>0</v>
      </c>
      <c r="F2697">
        <v>0</v>
      </c>
      <c r="G2697">
        <v>0</v>
      </c>
      <c r="H2697">
        <v>172</v>
      </c>
      <c r="I2697" s="183" t="s">
        <v>6400</v>
      </c>
      <c r="J2697" s="183" t="s">
        <v>12095</v>
      </c>
      <c r="K2697">
        <v>0</v>
      </c>
      <c r="L2697">
        <v>172</v>
      </c>
    </row>
    <row r="2698" spans="1:12">
      <c r="A2698" s="183" t="s">
        <v>6883</v>
      </c>
      <c r="B2698" s="183" t="s">
        <v>6338</v>
      </c>
      <c r="C2698">
        <v>8800358433633</v>
      </c>
      <c r="D2698">
        <v>398</v>
      </c>
      <c r="E2698">
        <v>0</v>
      </c>
      <c r="F2698">
        <v>0</v>
      </c>
      <c r="G2698">
        <v>0</v>
      </c>
      <c r="H2698">
        <v>398</v>
      </c>
      <c r="I2698" s="183" t="s">
        <v>6400</v>
      </c>
      <c r="J2698" s="183" t="s">
        <v>12048</v>
      </c>
      <c r="K2698">
        <v>0</v>
      </c>
      <c r="L2698">
        <v>398</v>
      </c>
    </row>
    <row r="2699" spans="1:12">
      <c r="A2699" s="183" t="s">
        <v>6414</v>
      </c>
      <c r="B2699" s="183" t="s">
        <v>6338</v>
      </c>
      <c r="C2699">
        <v>8800358433640</v>
      </c>
      <c r="D2699">
        <v>367</v>
      </c>
      <c r="E2699">
        <v>0</v>
      </c>
      <c r="F2699">
        <v>0</v>
      </c>
      <c r="G2699">
        <v>0</v>
      </c>
      <c r="H2699">
        <v>367</v>
      </c>
      <c r="I2699" s="183" t="s">
        <v>6400</v>
      </c>
      <c r="J2699" s="183" t="s">
        <v>12063</v>
      </c>
      <c r="K2699">
        <v>0</v>
      </c>
      <c r="L2699">
        <v>367</v>
      </c>
    </row>
    <row r="2700" spans="1:12">
      <c r="A2700" s="183" t="s">
        <v>6843</v>
      </c>
      <c r="B2700" s="183" t="s">
        <v>6338</v>
      </c>
      <c r="C2700">
        <v>8800358433695</v>
      </c>
      <c r="D2700">
        <v>587</v>
      </c>
      <c r="E2700">
        <v>0</v>
      </c>
      <c r="F2700">
        <v>0</v>
      </c>
      <c r="G2700">
        <v>0</v>
      </c>
      <c r="H2700">
        <v>587</v>
      </c>
      <c r="I2700" s="183" t="s">
        <v>6400</v>
      </c>
      <c r="J2700" s="183" t="s">
        <v>12048</v>
      </c>
      <c r="K2700">
        <v>0</v>
      </c>
      <c r="L2700">
        <v>587</v>
      </c>
    </row>
    <row r="2701" spans="1:12">
      <c r="A2701" s="183" t="s">
        <v>6415</v>
      </c>
      <c r="B2701" s="183" t="s">
        <v>6338</v>
      </c>
      <c r="C2701">
        <v>8800358433725</v>
      </c>
      <c r="D2701" s="501">
        <v>1061</v>
      </c>
      <c r="E2701">
        <v>0</v>
      </c>
      <c r="F2701">
        <v>0</v>
      </c>
      <c r="G2701">
        <v>0</v>
      </c>
      <c r="H2701" s="501">
        <v>1061</v>
      </c>
      <c r="I2701" s="183" t="s">
        <v>6400</v>
      </c>
      <c r="J2701" s="183" t="s">
        <v>12061</v>
      </c>
      <c r="K2701">
        <v>0</v>
      </c>
      <c r="L2701" s="501">
        <v>1061</v>
      </c>
    </row>
    <row r="2702" spans="1:12">
      <c r="A2702" s="183" t="s">
        <v>6471</v>
      </c>
      <c r="B2702" s="183" t="s">
        <v>1029</v>
      </c>
      <c r="C2702">
        <v>8800358433954</v>
      </c>
      <c r="D2702">
        <v>425</v>
      </c>
      <c r="E2702">
        <v>0</v>
      </c>
      <c r="F2702">
        <v>0</v>
      </c>
      <c r="G2702">
        <v>0</v>
      </c>
      <c r="H2702">
        <v>425</v>
      </c>
      <c r="I2702" s="183" t="s">
        <v>6453</v>
      </c>
      <c r="J2702" s="183" t="s">
        <v>12061</v>
      </c>
      <c r="K2702">
        <v>0</v>
      </c>
      <c r="L2702">
        <v>425</v>
      </c>
    </row>
    <row r="2703" spans="1:12">
      <c r="A2703" s="183" t="s">
        <v>6472</v>
      </c>
      <c r="B2703" s="183" t="s">
        <v>1029</v>
      </c>
      <c r="C2703">
        <v>8800358433961</v>
      </c>
      <c r="D2703">
        <v>319</v>
      </c>
      <c r="E2703">
        <v>0</v>
      </c>
      <c r="F2703">
        <v>0</v>
      </c>
      <c r="G2703">
        <v>0</v>
      </c>
      <c r="H2703">
        <v>319</v>
      </c>
      <c r="I2703" s="183" t="s">
        <v>6453</v>
      </c>
      <c r="J2703" s="183" t="s">
        <v>12048</v>
      </c>
      <c r="K2703">
        <v>0</v>
      </c>
      <c r="L2703">
        <v>319</v>
      </c>
    </row>
    <row r="2704" spans="1:12">
      <c r="A2704" s="183" t="s">
        <v>6842</v>
      </c>
      <c r="B2704" s="183" t="s">
        <v>1029</v>
      </c>
      <c r="C2704">
        <v>8800358434005</v>
      </c>
      <c r="D2704">
        <v>250</v>
      </c>
      <c r="E2704">
        <v>0</v>
      </c>
      <c r="F2704">
        <v>0</v>
      </c>
      <c r="G2704">
        <v>0</v>
      </c>
      <c r="H2704">
        <v>250</v>
      </c>
      <c r="I2704" s="183" t="s">
        <v>6453</v>
      </c>
      <c r="J2704" s="183" t="s">
        <v>12050</v>
      </c>
      <c r="K2704">
        <v>0</v>
      </c>
      <c r="L2704">
        <v>250</v>
      </c>
    </row>
    <row r="2705" spans="1:12">
      <c r="A2705" s="183" t="s">
        <v>6461</v>
      </c>
      <c r="B2705" s="183" t="s">
        <v>1029</v>
      </c>
      <c r="C2705">
        <v>8800358434012</v>
      </c>
      <c r="D2705">
        <v>709</v>
      </c>
      <c r="E2705">
        <v>0</v>
      </c>
      <c r="F2705">
        <v>0</v>
      </c>
      <c r="G2705">
        <v>0</v>
      </c>
      <c r="H2705">
        <v>709</v>
      </c>
      <c r="I2705" s="183" t="s">
        <v>6453</v>
      </c>
      <c r="J2705" s="183" t="s">
        <v>12048</v>
      </c>
      <c r="K2705">
        <v>0</v>
      </c>
      <c r="L2705">
        <v>709</v>
      </c>
    </row>
    <row r="2706" spans="1:12">
      <c r="A2706" s="183" t="s">
        <v>6484</v>
      </c>
      <c r="B2706" s="183" t="s">
        <v>1026</v>
      </c>
      <c r="C2706">
        <v>8800358434135</v>
      </c>
      <c r="D2706">
        <v>362</v>
      </c>
      <c r="E2706">
        <v>0</v>
      </c>
      <c r="F2706">
        <v>0</v>
      </c>
      <c r="G2706">
        <v>0</v>
      </c>
      <c r="H2706">
        <v>362</v>
      </c>
      <c r="I2706" s="183" t="s">
        <v>6450</v>
      </c>
      <c r="J2706" s="183" t="s">
        <v>12063</v>
      </c>
      <c r="K2706">
        <v>0</v>
      </c>
      <c r="L2706">
        <v>362</v>
      </c>
    </row>
    <row r="2707" spans="1:12">
      <c r="A2707" s="183" t="s">
        <v>6619</v>
      </c>
      <c r="B2707" s="183" t="s">
        <v>1026</v>
      </c>
      <c r="C2707">
        <v>8800358434166</v>
      </c>
      <c r="D2707">
        <v>153</v>
      </c>
      <c r="E2707">
        <v>0</v>
      </c>
      <c r="F2707">
        <v>0</v>
      </c>
      <c r="G2707">
        <v>0</v>
      </c>
      <c r="H2707">
        <v>153</v>
      </c>
      <c r="I2707" s="183" t="s">
        <v>6450</v>
      </c>
      <c r="J2707" s="183" t="s">
        <v>12055</v>
      </c>
      <c r="K2707">
        <v>0</v>
      </c>
      <c r="L2707">
        <v>153</v>
      </c>
    </row>
    <row r="2708" spans="1:12">
      <c r="A2708" s="183" t="s">
        <v>6627</v>
      </c>
      <c r="B2708" s="183" t="s">
        <v>1026</v>
      </c>
      <c r="C2708">
        <v>8800358434173</v>
      </c>
      <c r="D2708">
        <v>138</v>
      </c>
      <c r="E2708">
        <v>0</v>
      </c>
      <c r="F2708">
        <v>0</v>
      </c>
      <c r="G2708">
        <v>0</v>
      </c>
      <c r="H2708">
        <v>138</v>
      </c>
      <c r="I2708" s="183" t="s">
        <v>6450</v>
      </c>
      <c r="J2708" s="183" t="s">
        <v>12095</v>
      </c>
      <c r="K2708">
        <v>0</v>
      </c>
      <c r="L2708">
        <v>138</v>
      </c>
    </row>
    <row r="2709" spans="1:12">
      <c r="A2709" s="183" t="s">
        <v>6485</v>
      </c>
      <c r="B2709" s="183" t="s">
        <v>1026</v>
      </c>
      <c r="C2709">
        <v>8800358434197</v>
      </c>
      <c r="D2709">
        <v>355</v>
      </c>
      <c r="E2709">
        <v>0</v>
      </c>
      <c r="F2709">
        <v>0</v>
      </c>
      <c r="G2709">
        <v>0</v>
      </c>
      <c r="H2709">
        <v>355</v>
      </c>
      <c r="I2709" s="183" t="s">
        <v>6450</v>
      </c>
      <c r="J2709" s="183" t="s">
        <v>12063</v>
      </c>
      <c r="K2709">
        <v>0</v>
      </c>
      <c r="L2709">
        <v>355</v>
      </c>
    </row>
    <row r="2710" spans="1:12">
      <c r="A2710" s="183" t="s">
        <v>6480</v>
      </c>
      <c r="B2710" s="183" t="s">
        <v>1026</v>
      </c>
      <c r="C2710">
        <v>8800358434357</v>
      </c>
      <c r="D2710">
        <v>228</v>
      </c>
      <c r="E2710">
        <v>0</v>
      </c>
      <c r="F2710">
        <v>0</v>
      </c>
      <c r="G2710">
        <v>0</v>
      </c>
      <c r="H2710">
        <v>228</v>
      </c>
      <c r="I2710" s="183" t="s">
        <v>6450</v>
      </c>
      <c r="J2710" s="183" t="s">
        <v>12061</v>
      </c>
      <c r="K2710">
        <v>0</v>
      </c>
      <c r="L2710">
        <v>228</v>
      </c>
    </row>
    <row r="2711" spans="1:12">
      <c r="A2711" s="183" t="s">
        <v>425</v>
      </c>
      <c r="B2711" s="183" t="s">
        <v>1182</v>
      </c>
      <c r="C2711">
        <v>15860228</v>
      </c>
      <c r="D2711">
        <v>251</v>
      </c>
      <c r="E2711">
        <v>0</v>
      </c>
      <c r="F2711">
        <v>934</v>
      </c>
      <c r="G2711">
        <v>0</v>
      </c>
      <c r="H2711" s="501">
        <v>1185</v>
      </c>
      <c r="I2711" s="183" t="s">
        <v>1183</v>
      </c>
      <c r="J2711" s="183" t="s">
        <v>12067</v>
      </c>
      <c r="K2711">
        <v>0</v>
      </c>
      <c r="L2711">
        <v>251</v>
      </c>
    </row>
    <row r="2712" spans="1:12">
      <c r="A2712" s="183" t="s">
        <v>3938</v>
      </c>
      <c r="B2712" s="183" t="s">
        <v>1010</v>
      </c>
      <c r="C2712">
        <v>15870206</v>
      </c>
      <c r="D2712">
        <v>0</v>
      </c>
      <c r="E2712">
        <v>0</v>
      </c>
      <c r="F2712">
        <v>89</v>
      </c>
      <c r="G2712">
        <v>0</v>
      </c>
      <c r="H2712">
        <v>89</v>
      </c>
      <c r="I2712" s="183" t="s">
        <v>1011</v>
      </c>
      <c r="J2712" s="183" t="s">
        <v>12067</v>
      </c>
      <c r="K2712">
        <v>0</v>
      </c>
      <c r="L2712">
        <v>0</v>
      </c>
    </row>
    <row r="2713" spans="1:12">
      <c r="A2713" s="183" t="s">
        <v>435</v>
      </c>
      <c r="B2713" s="183" t="s">
        <v>1010</v>
      </c>
      <c r="C2713">
        <v>15870209</v>
      </c>
      <c r="D2713">
        <v>123</v>
      </c>
      <c r="E2713">
        <v>0</v>
      </c>
      <c r="F2713">
        <v>760</v>
      </c>
      <c r="G2713">
        <v>0</v>
      </c>
      <c r="H2713">
        <v>883</v>
      </c>
      <c r="I2713" s="183" t="s">
        <v>1011</v>
      </c>
      <c r="J2713" s="183" t="s">
        <v>12060</v>
      </c>
      <c r="K2713">
        <v>0</v>
      </c>
      <c r="L2713">
        <v>123</v>
      </c>
    </row>
    <row r="2714" spans="1:12">
      <c r="A2714" s="183" t="s">
        <v>436</v>
      </c>
      <c r="B2714" s="183" t="s">
        <v>1010</v>
      </c>
      <c r="C2714">
        <v>15870212</v>
      </c>
      <c r="D2714">
        <v>0</v>
      </c>
      <c r="E2714">
        <v>0</v>
      </c>
      <c r="F2714">
        <v>605</v>
      </c>
      <c r="G2714">
        <v>0</v>
      </c>
      <c r="H2714">
        <v>605</v>
      </c>
      <c r="I2714" s="183" t="s">
        <v>1011</v>
      </c>
      <c r="J2714" s="183" t="s">
        <v>12091</v>
      </c>
      <c r="K2714">
        <v>0</v>
      </c>
      <c r="L2714">
        <v>0</v>
      </c>
    </row>
    <row r="2715" spans="1:12">
      <c r="A2715" s="183" t="s">
        <v>3939</v>
      </c>
      <c r="B2715" s="183" t="s">
        <v>1010</v>
      </c>
      <c r="C2715">
        <v>15870222</v>
      </c>
      <c r="D2715">
        <v>11</v>
      </c>
      <c r="E2715">
        <v>0</v>
      </c>
      <c r="F2715">
        <v>178</v>
      </c>
      <c r="G2715">
        <v>0</v>
      </c>
      <c r="H2715">
        <v>189</v>
      </c>
      <c r="I2715" s="183" t="s">
        <v>1011</v>
      </c>
      <c r="J2715" s="183" t="s">
        <v>12053</v>
      </c>
      <c r="K2715">
        <v>0</v>
      </c>
      <c r="L2715">
        <v>11</v>
      </c>
    </row>
    <row r="2716" spans="1:12">
      <c r="A2716" s="183" t="s">
        <v>3934</v>
      </c>
      <c r="B2716" s="183" t="s">
        <v>1010</v>
      </c>
      <c r="C2716">
        <v>15870224</v>
      </c>
      <c r="D2716">
        <v>0</v>
      </c>
      <c r="E2716">
        <v>0</v>
      </c>
      <c r="F2716">
        <v>204</v>
      </c>
      <c r="G2716">
        <v>0</v>
      </c>
      <c r="H2716">
        <v>204</v>
      </c>
      <c r="I2716" s="183" t="s">
        <v>1011</v>
      </c>
      <c r="J2716" s="183" t="s">
        <v>12054</v>
      </c>
      <c r="K2716">
        <v>0</v>
      </c>
      <c r="L2716">
        <v>0</v>
      </c>
    </row>
    <row r="2717" spans="1:12">
      <c r="A2717" s="183" t="s">
        <v>448</v>
      </c>
      <c r="B2717" s="183" t="s">
        <v>1165</v>
      </c>
      <c r="C2717">
        <v>15880207</v>
      </c>
      <c r="D2717">
        <v>24</v>
      </c>
      <c r="E2717">
        <v>0</v>
      </c>
      <c r="F2717">
        <v>311</v>
      </c>
      <c r="G2717">
        <v>0</v>
      </c>
      <c r="H2717">
        <v>335</v>
      </c>
      <c r="I2717" s="183" t="s">
        <v>1166</v>
      </c>
      <c r="J2717" s="183" t="s">
        <v>12054</v>
      </c>
      <c r="K2717">
        <v>0</v>
      </c>
      <c r="L2717">
        <v>24</v>
      </c>
    </row>
    <row r="2718" spans="1:12">
      <c r="A2718" s="183" t="s">
        <v>449</v>
      </c>
      <c r="B2718" s="183" t="s">
        <v>1165</v>
      </c>
      <c r="C2718">
        <v>15880208</v>
      </c>
      <c r="D2718">
        <v>99</v>
      </c>
      <c r="E2718">
        <v>0</v>
      </c>
      <c r="F2718">
        <v>747</v>
      </c>
      <c r="G2718">
        <v>0</v>
      </c>
      <c r="H2718">
        <v>846</v>
      </c>
      <c r="I2718" s="183" t="s">
        <v>1166</v>
      </c>
      <c r="J2718" s="183" t="s">
        <v>12060</v>
      </c>
      <c r="K2718">
        <v>0</v>
      </c>
      <c r="L2718">
        <v>99</v>
      </c>
    </row>
    <row r="2719" spans="1:12">
      <c r="A2719" s="183" t="s">
        <v>452</v>
      </c>
      <c r="B2719" s="183" t="s">
        <v>1165</v>
      </c>
      <c r="C2719">
        <v>15880211</v>
      </c>
      <c r="D2719">
        <v>152</v>
      </c>
      <c r="E2719">
        <v>0</v>
      </c>
      <c r="F2719" s="501">
        <v>1205</v>
      </c>
      <c r="G2719">
        <v>0</v>
      </c>
      <c r="H2719" s="501">
        <v>1357</v>
      </c>
      <c r="I2719" s="183" t="s">
        <v>1166</v>
      </c>
      <c r="J2719" s="183" t="s">
        <v>12066</v>
      </c>
      <c r="K2719">
        <v>0</v>
      </c>
      <c r="L2719">
        <v>152</v>
      </c>
    </row>
    <row r="2720" spans="1:12">
      <c r="A2720" s="183" t="s">
        <v>455</v>
      </c>
      <c r="B2720" s="183" t="s">
        <v>1165</v>
      </c>
      <c r="C2720">
        <v>15880215</v>
      </c>
      <c r="D2720">
        <v>82</v>
      </c>
      <c r="E2720">
        <v>0</v>
      </c>
      <c r="F2720" s="501">
        <v>1068</v>
      </c>
      <c r="G2720">
        <v>0</v>
      </c>
      <c r="H2720" s="501">
        <v>1150</v>
      </c>
      <c r="I2720" s="183" t="s">
        <v>1166</v>
      </c>
      <c r="J2720" s="183" t="s">
        <v>12048</v>
      </c>
      <c r="K2720">
        <v>0</v>
      </c>
      <c r="L2720">
        <v>82</v>
      </c>
    </row>
    <row r="2721" spans="1:12">
      <c r="A2721" s="183" t="s">
        <v>458</v>
      </c>
      <c r="B2721" s="183" t="s">
        <v>1165</v>
      </c>
      <c r="C2721">
        <v>15880218</v>
      </c>
      <c r="D2721">
        <v>0</v>
      </c>
      <c r="E2721">
        <v>0</v>
      </c>
      <c r="F2721">
        <v>734</v>
      </c>
      <c r="G2721">
        <v>0</v>
      </c>
      <c r="H2721">
        <v>734</v>
      </c>
      <c r="I2721" s="183" t="s">
        <v>1166</v>
      </c>
      <c r="J2721" s="183" t="s">
        <v>12085</v>
      </c>
      <c r="K2721">
        <v>0</v>
      </c>
      <c r="L2721">
        <v>0</v>
      </c>
    </row>
    <row r="2722" spans="1:12">
      <c r="A2722" s="183" t="s">
        <v>6205</v>
      </c>
      <c r="B2722" s="183" t="s">
        <v>6206</v>
      </c>
      <c r="C2722">
        <v>64003226</v>
      </c>
      <c r="D2722">
        <v>613</v>
      </c>
      <c r="E2722">
        <v>0</v>
      </c>
      <c r="F2722">
        <v>0</v>
      </c>
      <c r="G2722">
        <v>0</v>
      </c>
      <c r="H2722">
        <v>613</v>
      </c>
      <c r="I2722" s="183" t="s">
        <v>1012</v>
      </c>
      <c r="J2722" s="183" t="s">
        <v>12048</v>
      </c>
      <c r="K2722">
        <v>0</v>
      </c>
      <c r="L2722">
        <v>613</v>
      </c>
    </row>
    <row r="2723" spans="1:12">
      <c r="A2723" s="183" t="s">
        <v>234</v>
      </c>
      <c r="B2723" s="183" t="s">
        <v>235</v>
      </c>
      <c r="C2723">
        <v>11860200</v>
      </c>
      <c r="D2723">
        <v>263</v>
      </c>
      <c r="E2723">
        <v>0</v>
      </c>
      <c r="F2723">
        <v>0</v>
      </c>
      <c r="G2723">
        <v>0</v>
      </c>
      <c r="H2723">
        <v>263</v>
      </c>
      <c r="I2723" s="183" t="s">
        <v>1052</v>
      </c>
      <c r="J2723" s="183" t="s">
        <v>12054</v>
      </c>
      <c r="K2723">
        <v>0</v>
      </c>
      <c r="L2723">
        <v>263</v>
      </c>
    </row>
    <row r="2724" spans="1:12">
      <c r="A2724" s="183" t="s">
        <v>3095</v>
      </c>
      <c r="B2724" s="183" t="s">
        <v>3096</v>
      </c>
      <c r="C2724">
        <v>11860207</v>
      </c>
      <c r="D2724">
        <v>131</v>
      </c>
      <c r="E2724">
        <v>0</v>
      </c>
      <c r="F2724">
        <v>0</v>
      </c>
      <c r="G2724">
        <v>0</v>
      </c>
      <c r="H2724">
        <v>131</v>
      </c>
      <c r="I2724" s="183" t="s">
        <v>1052</v>
      </c>
      <c r="J2724" s="183" t="s">
        <v>12081</v>
      </c>
      <c r="K2724">
        <v>0</v>
      </c>
      <c r="L2724">
        <v>131</v>
      </c>
    </row>
    <row r="2725" spans="1:12">
      <c r="A2725" s="183" t="s">
        <v>5879</v>
      </c>
      <c r="B2725" s="183" t="s">
        <v>5880</v>
      </c>
      <c r="C2725">
        <v>11860224</v>
      </c>
      <c r="D2725">
        <v>128</v>
      </c>
      <c r="E2725">
        <v>0</v>
      </c>
      <c r="F2725">
        <v>0</v>
      </c>
      <c r="G2725">
        <v>0</v>
      </c>
      <c r="H2725">
        <v>128</v>
      </c>
      <c r="I2725" s="183" t="s">
        <v>1052</v>
      </c>
      <c r="J2725" s="183" t="s">
        <v>12092</v>
      </c>
      <c r="K2725">
        <v>0</v>
      </c>
      <c r="L2725">
        <v>128</v>
      </c>
    </row>
    <row r="2726" spans="1:12">
      <c r="A2726" s="183" t="s">
        <v>242</v>
      </c>
      <c r="B2726" s="183" t="s">
        <v>243</v>
      </c>
      <c r="C2726">
        <v>11860242</v>
      </c>
      <c r="D2726">
        <v>184</v>
      </c>
      <c r="E2726">
        <v>0</v>
      </c>
      <c r="F2726">
        <v>0</v>
      </c>
      <c r="G2726">
        <v>0</v>
      </c>
      <c r="H2726">
        <v>184</v>
      </c>
      <c r="I2726" s="183" t="s">
        <v>1052</v>
      </c>
      <c r="J2726" s="183" t="s">
        <v>12048</v>
      </c>
      <c r="K2726">
        <v>0</v>
      </c>
      <c r="L2726">
        <v>184</v>
      </c>
    </row>
    <row r="2727" spans="1:12">
      <c r="A2727" s="183" t="s">
        <v>253</v>
      </c>
      <c r="B2727" s="183" t="s">
        <v>1227</v>
      </c>
      <c r="C2727">
        <v>7200204</v>
      </c>
      <c r="D2727">
        <v>631</v>
      </c>
      <c r="E2727">
        <v>0</v>
      </c>
      <c r="F2727">
        <v>0</v>
      </c>
      <c r="G2727">
        <v>0</v>
      </c>
      <c r="H2727">
        <v>631</v>
      </c>
      <c r="I2727" s="183" t="s">
        <v>1228</v>
      </c>
      <c r="J2727" s="183" t="s">
        <v>12061</v>
      </c>
      <c r="K2727">
        <v>0</v>
      </c>
      <c r="L2727">
        <v>631</v>
      </c>
    </row>
    <row r="2728" spans="1:12">
      <c r="A2728" s="183" t="s">
        <v>254</v>
      </c>
      <c r="B2728" s="183" t="s">
        <v>1227</v>
      </c>
      <c r="C2728">
        <v>7200205</v>
      </c>
      <c r="D2728">
        <v>133</v>
      </c>
      <c r="E2728">
        <v>0</v>
      </c>
      <c r="F2728">
        <v>0</v>
      </c>
      <c r="G2728">
        <v>0</v>
      </c>
      <c r="H2728">
        <v>133</v>
      </c>
      <c r="I2728" s="183" t="s">
        <v>1228</v>
      </c>
      <c r="J2728" s="183" t="s">
        <v>12061</v>
      </c>
      <c r="K2728">
        <v>0</v>
      </c>
      <c r="L2728">
        <v>133</v>
      </c>
    </row>
    <row r="2729" spans="1:12">
      <c r="A2729" s="183" t="s">
        <v>3155</v>
      </c>
      <c r="B2729" s="183" t="s">
        <v>1227</v>
      </c>
      <c r="C2729">
        <v>7200220</v>
      </c>
      <c r="D2729">
        <v>56</v>
      </c>
      <c r="E2729">
        <v>0</v>
      </c>
      <c r="F2729">
        <v>0</v>
      </c>
      <c r="G2729">
        <v>0</v>
      </c>
      <c r="H2729">
        <v>56</v>
      </c>
      <c r="I2729" s="183" t="s">
        <v>1228</v>
      </c>
      <c r="J2729" s="183" t="s">
        <v>12052</v>
      </c>
      <c r="K2729">
        <v>0</v>
      </c>
      <c r="L2729">
        <v>56</v>
      </c>
    </row>
    <row r="2730" spans="1:12">
      <c r="A2730" s="183" t="s">
        <v>273</v>
      </c>
      <c r="B2730" s="183" t="s">
        <v>274</v>
      </c>
      <c r="C2730">
        <v>2290215</v>
      </c>
      <c r="D2730">
        <v>53</v>
      </c>
      <c r="E2730">
        <v>0</v>
      </c>
      <c r="F2730">
        <v>0</v>
      </c>
      <c r="G2730">
        <v>0</v>
      </c>
      <c r="H2730">
        <v>53</v>
      </c>
      <c r="I2730" s="183" t="s">
        <v>1053</v>
      </c>
      <c r="J2730" s="183" t="s">
        <v>12054</v>
      </c>
      <c r="K2730">
        <v>0</v>
      </c>
      <c r="L2730">
        <v>53</v>
      </c>
    </row>
    <row r="2731" spans="1:12">
      <c r="A2731" s="183" t="s">
        <v>287</v>
      </c>
      <c r="B2731" s="183" t="s">
        <v>288</v>
      </c>
      <c r="C2731">
        <v>2290240</v>
      </c>
      <c r="D2731">
        <v>207</v>
      </c>
      <c r="E2731">
        <v>0</v>
      </c>
      <c r="F2731">
        <v>0</v>
      </c>
      <c r="G2731">
        <v>0</v>
      </c>
      <c r="H2731">
        <v>207</v>
      </c>
      <c r="I2731" s="183" t="s">
        <v>1053</v>
      </c>
      <c r="J2731" s="183" t="s">
        <v>12058</v>
      </c>
      <c r="K2731">
        <v>0</v>
      </c>
      <c r="L2731">
        <v>207</v>
      </c>
    </row>
    <row r="2732" spans="1:12">
      <c r="A2732" s="183" t="s">
        <v>3137</v>
      </c>
      <c r="B2732" s="183" t="s">
        <v>3138</v>
      </c>
      <c r="C2732">
        <v>63009212</v>
      </c>
      <c r="D2732">
        <v>333</v>
      </c>
      <c r="E2732">
        <v>0</v>
      </c>
      <c r="F2732">
        <v>0</v>
      </c>
      <c r="G2732">
        <v>0</v>
      </c>
      <c r="H2732">
        <v>333</v>
      </c>
      <c r="I2732" s="183" t="s">
        <v>1093</v>
      </c>
      <c r="J2732" s="183" t="s">
        <v>12058</v>
      </c>
      <c r="K2732">
        <v>0</v>
      </c>
      <c r="L2732">
        <v>333</v>
      </c>
    </row>
    <row r="2733" spans="1:12">
      <c r="A2733" s="183" t="s">
        <v>1162</v>
      </c>
      <c r="B2733" s="183" t="s">
        <v>1163</v>
      </c>
      <c r="C2733">
        <v>63009230</v>
      </c>
      <c r="D2733">
        <v>307</v>
      </c>
      <c r="E2733">
        <v>0</v>
      </c>
      <c r="F2733">
        <v>0</v>
      </c>
      <c r="G2733">
        <v>0</v>
      </c>
      <c r="H2733">
        <v>307</v>
      </c>
      <c r="I2733" s="183" t="s">
        <v>1093</v>
      </c>
      <c r="J2733" s="183" t="s">
        <v>12056</v>
      </c>
      <c r="K2733">
        <v>0</v>
      </c>
      <c r="L2733">
        <v>307</v>
      </c>
    </row>
    <row r="2734" spans="1:12">
      <c r="A2734" s="183" t="s">
        <v>1273</v>
      </c>
      <c r="B2734" s="183" t="s">
        <v>1274</v>
      </c>
      <c r="C2734">
        <v>63009234</v>
      </c>
      <c r="D2734">
        <v>280</v>
      </c>
      <c r="E2734">
        <v>0</v>
      </c>
      <c r="F2734">
        <v>0</v>
      </c>
      <c r="G2734">
        <v>0</v>
      </c>
      <c r="H2734">
        <v>280</v>
      </c>
      <c r="I2734" s="183" t="s">
        <v>1093</v>
      </c>
      <c r="J2734" s="183" t="s">
        <v>12054</v>
      </c>
      <c r="K2734">
        <v>0</v>
      </c>
      <c r="L2734">
        <v>280</v>
      </c>
    </row>
    <row r="2735" spans="1:12">
      <c r="A2735" s="183" t="s">
        <v>292</v>
      </c>
      <c r="B2735" s="183" t="s">
        <v>1064</v>
      </c>
      <c r="C2735">
        <v>75075180</v>
      </c>
      <c r="D2735">
        <v>543</v>
      </c>
      <c r="E2735">
        <v>0</v>
      </c>
      <c r="F2735">
        <v>0</v>
      </c>
      <c r="G2735">
        <v>0</v>
      </c>
      <c r="H2735">
        <v>543</v>
      </c>
      <c r="I2735" s="183" t="s">
        <v>1065</v>
      </c>
      <c r="J2735" s="183" t="s">
        <v>12054</v>
      </c>
      <c r="K2735">
        <v>0</v>
      </c>
      <c r="L2735">
        <v>543</v>
      </c>
    </row>
    <row r="2736" spans="1:12">
      <c r="A2736" s="183" t="s">
        <v>719</v>
      </c>
      <c r="B2736" s="183" t="s">
        <v>1064</v>
      </c>
      <c r="C2736">
        <v>100175180</v>
      </c>
      <c r="D2736">
        <v>213</v>
      </c>
      <c r="E2736">
        <v>0</v>
      </c>
      <c r="F2736">
        <v>3</v>
      </c>
      <c r="G2736">
        <v>0</v>
      </c>
      <c r="H2736">
        <v>216</v>
      </c>
      <c r="I2736" s="183" t="s">
        <v>1065</v>
      </c>
      <c r="J2736" s="183" t="s">
        <v>12060</v>
      </c>
      <c r="K2736">
        <v>0</v>
      </c>
      <c r="L2736">
        <v>213</v>
      </c>
    </row>
    <row r="2737" spans="1:12">
      <c r="A2737" s="183" t="s">
        <v>3126</v>
      </c>
      <c r="B2737" s="183" t="s">
        <v>1064</v>
      </c>
      <c r="C2737">
        <v>225075180</v>
      </c>
      <c r="D2737">
        <v>86</v>
      </c>
      <c r="E2737">
        <v>0</v>
      </c>
      <c r="F2737">
        <v>0</v>
      </c>
      <c r="G2737">
        <v>0</v>
      </c>
      <c r="H2737">
        <v>86</v>
      </c>
      <c r="I2737" s="183" t="s">
        <v>1065</v>
      </c>
      <c r="J2737" s="183" t="s">
        <v>12056</v>
      </c>
      <c r="K2737">
        <v>0</v>
      </c>
      <c r="L2737">
        <v>86</v>
      </c>
    </row>
    <row r="2738" spans="1:12">
      <c r="A2738" s="183" t="s">
        <v>4625</v>
      </c>
      <c r="B2738" s="183" t="s">
        <v>1064</v>
      </c>
      <c r="C2738">
        <v>250125180</v>
      </c>
      <c r="D2738">
        <v>419</v>
      </c>
      <c r="E2738">
        <v>0</v>
      </c>
      <c r="F2738">
        <v>0</v>
      </c>
      <c r="G2738">
        <v>0</v>
      </c>
      <c r="H2738">
        <v>419</v>
      </c>
      <c r="I2738" s="183" t="s">
        <v>1065</v>
      </c>
      <c r="J2738" s="183" t="s">
        <v>12058</v>
      </c>
      <c r="K2738">
        <v>0</v>
      </c>
      <c r="L2738">
        <v>419</v>
      </c>
    </row>
    <row r="2739" spans="1:12">
      <c r="A2739" s="183" t="s">
        <v>3104</v>
      </c>
      <c r="B2739" s="183" t="s">
        <v>1064</v>
      </c>
      <c r="C2739">
        <v>275075180</v>
      </c>
      <c r="D2739">
        <v>186</v>
      </c>
      <c r="E2739">
        <v>0</v>
      </c>
      <c r="F2739">
        <v>0</v>
      </c>
      <c r="G2739">
        <v>0</v>
      </c>
      <c r="H2739">
        <v>186</v>
      </c>
      <c r="I2739" s="183" t="s">
        <v>1065</v>
      </c>
      <c r="J2739" s="183" t="s">
        <v>12060</v>
      </c>
      <c r="K2739">
        <v>0</v>
      </c>
      <c r="L2739">
        <v>186</v>
      </c>
    </row>
    <row r="2740" spans="1:12">
      <c r="A2740" s="183" t="s">
        <v>4626</v>
      </c>
      <c r="B2740" s="183" t="s">
        <v>1064</v>
      </c>
      <c r="C2740">
        <v>300175180</v>
      </c>
      <c r="D2740">
        <v>458</v>
      </c>
      <c r="E2740">
        <v>0</v>
      </c>
      <c r="F2740">
        <v>2</v>
      </c>
      <c r="G2740">
        <v>0</v>
      </c>
      <c r="H2740">
        <v>460</v>
      </c>
      <c r="I2740" s="183" t="s">
        <v>1065</v>
      </c>
      <c r="J2740" s="183" t="s">
        <v>12053</v>
      </c>
      <c r="K2740">
        <v>0</v>
      </c>
      <c r="L2740">
        <v>458</v>
      </c>
    </row>
    <row r="2741" spans="1:12">
      <c r="A2741" s="183" t="s">
        <v>5194</v>
      </c>
      <c r="B2741" s="183" t="s">
        <v>1064</v>
      </c>
      <c r="C2741">
        <v>400075180</v>
      </c>
      <c r="D2741">
        <v>191</v>
      </c>
      <c r="E2741">
        <v>0</v>
      </c>
      <c r="F2741">
        <v>0</v>
      </c>
      <c r="G2741">
        <v>0</v>
      </c>
      <c r="H2741">
        <v>191</v>
      </c>
      <c r="I2741" s="183" t="s">
        <v>1065</v>
      </c>
      <c r="J2741" s="183" t="s">
        <v>12059</v>
      </c>
      <c r="K2741">
        <v>0</v>
      </c>
      <c r="L2741">
        <v>191</v>
      </c>
    </row>
    <row r="2742" spans="1:12">
      <c r="A2742" s="183" t="s">
        <v>5171</v>
      </c>
      <c r="B2742" s="183" t="s">
        <v>1064</v>
      </c>
      <c r="C2742">
        <v>450125180</v>
      </c>
      <c r="D2742">
        <v>558</v>
      </c>
      <c r="E2742">
        <v>0</v>
      </c>
      <c r="F2742">
        <v>0</v>
      </c>
      <c r="G2742">
        <v>0</v>
      </c>
      <c r="H2742">
        <v>558</v>
      </c>
      <c r="I2742" s="183" t="s">
        <v>1065</v>
      </c>
      <c r="J2742" s="183" t="s">
        <v>12057</v>
      </c>
      <c r="K2742">
        <v>0</v>
      </c>
      <c r="L2742">
        <v>558</v>
      </c>
    </row>
    <row r="2743" spans="1:12">
      <c r="A2743" s="183" t="s">
        <v>4656</v>
      </c>
      <c r="B2743" s="183" t="s">
        <v>1064</v>
      </c>
      <c r="C2743">
        <v>475125180</v>
      </c>
      <c r="D2743">
        <v>590</v>
      </c>
      <c r="E2743">
        <v>0</v>
      </c>
      <c r="F2743">
        <v>0</v>
      </c>
      <c r="G2743">
        <v>0</v>
      </c>
      <c r="H2743">
        <v>590</v>
      </c>
      <c r="I2743" s="183" t="s">
        <v>1065</v>
      </c>
      <c r="J2743" s="183" t="s">
        <v>12092</v>
      </c>
      <c r="K2743">
        <v>0</v>
      </c>
      <c r="L2743">
        <v>590</v>
      </c>
    </row>
    <row r="2744" spans="1:12">
      <c r="A2744" s="183" t="s">
        <v>6334</v>
      </c>
      <c r="B2744" s="183" t="s">
        <v>1064</v>
      </c>
      <c r="C2744">
        <v>525175180</v>
      </c>
      <c r="D2744">
        <v>302</v>
      </c>
      <c r="E2744">
        <v>0</v>
      </c>
      <c r="F2744">
        <v>2</v>
      </c>
      <c r="G2744">
        <v>0</v>
      </c>
      <c r="H2744">
        <v>304</v>
      </c>
      <c r="I2744" s="183" t="s">
        <v>1065</v>
      </c>
      <c r="J2744" s="183" t="s">
        <v>12081</v>
      </c>
      <c r="K2744">
        <v>0</v>
      </c>
      <c r="L2744">
        <v>302</v>
      </c>
    </row>
    <row r="2745" spans="1:12">
      <c r="A2745" s="183" t="s">
        <v>5174</v>
      </c>
      <c r="B2745" s="183" t="s">
        <v>1064</v>
      </c>
      <c r="C2745">
        <v>700175180</v>
      </c>
      <c r="D2745">
        <v>267</v>
      </c>
      <c r="E2745">
        <v>0</v>
      </c>
      <c r="F2745">
        <v>1</v>
      </c>
      <c r="G2745">
        <v>0</v>
      </c>
      <c r="H2745">
        <v>268</v>
      </c>
      <c r="I2745" s="183" t="s">
        <v>1065</v>
      </c>
      <c r="J2745" s="183" t="s">
        <v>12053</v>
      </c>
      <c r="K2745">
        <v>0</v>
      </c>
      <c r="L2745">
        <v>267</v>
      </c>
    </row>
    <row r="2746" spans="1:12">
      <c r="A2746" s="183" t="s">
        <v>850</v>
      </c>
      <c r="B2746" s="183" t="s">
        <v>1032</v>
      </c>
      <c r="C2746">
        <v>73860208</v>
      </c>
      <c r="D2746">
        <v>129</v>
      </c>
      <c r="E2746">
        <v>0</v>
      </c>
      <c r="F2746">
        <v>0</v>
      </c>
      <c r="G2746">
        <v>0</v>
      </c>
      <c r="H2746">
        <v>129</v>
      </c>
      <c r="I2746" s="183" t="s">
        <v>1033</v>
      </c>
      <c r="J2746" s="183" t="s">
        <v>12067</v>
      </c>
      <c r="K2746">
        <v>0</v>
      </c>
      <c r="L2746">
        <v>129</v>
      </c>
    </row>
    <row r="2747" spans="1:12">
      <c r="A2747" s="183" t="s">
        <v>3390</v>
      </c>
      <c r="B2747" s="183" t="s">
        <v>1032</v>
      </c>
      <c r="C2747">
        <v>73860214</v>
      </c>
      <c r="D2747">
        <v>240</v>
      </c>
      <c r="E2747">
        <v>0</v>
      </c>
      <c r="F2747">
        <v>0</v>
      </c>
      <c r="G2747">
        <v>0</v>
      </c>
      <c r="H2747">
        <v>240</v>
      </c>
      <c r="I2747" s="183" t="s">
        <v>1033</v>
      </c>
      <c r="J2747" s="183" t="s">
        <v>12048</v>
      </c>
      <c r="K2747">
        <v>0</v>
      </c>
      <c r="L2747">
        <v>240</v>
      </c>
    </row>
    <row r="2748" spans="1:12">
      <c r="A2748" s="183" t="s">
        <v>1173</v>
      </c>
      <c r="B2748" s="183" t="s">
        <v>1032</v>
      </c>
      <c r="C2748">
        <v>73860220</v>
      </c>
      <c r="D2748">
        <v>352</v>
      </c>
      <c r="E2748">
        <v>0</v>
      </c>
      <c r="F2748">
        <v>0</v>
      </c>
      <c r="G2748">
        <v>0</v>
      </c>
      <c r="H2748">
        <v>352</v>
      </c>
      <c r="I2748" s="183" t="s">
        <v>1033</v>
      </c>
      <c r="J2748" s="183" t="s">
        <v>12095</v>
      </c>
      <c r="K2748">
        <v>0</v>
      </c>
      <c r="L2748">
        <v>352</v>
      </c>
    </row>
    <row r="2749" spans="1:12">
      <c r="A2749" s="183" t="s">
        <v>311</v>
      </c>
      <c r="B2749" s="183" t="s">
        <v>1060</v>
      </c>
      <c r="C2749">
        <v>100075180154</v>
      </c>
      <c r="D2749">
        <v>519</v>
      </c>
      <c r="E2749">
        <v>0</v>
      </c>
      <c r="F2749">
        <v>0</v>
      </c>
      <c r="G2749">
        <v>0</v>
      </c>
      <c r="H2749">
        <v>519</v>
      </c>
      <c r="I2749" s="183" t="s">
        <v>1061</v>
      </c>
      <c r="J2749" s="183" t="s">
        <v>12092</v>
      </c>
      <c r="K2749">
        <v>0</v>
      </c>
      <c r="L2749">
        <v>519</v>
      </c>
    </row>
    <row r="2750" spans="1:12">
      <c r="A2750" s="183" t="s">
        <v>316</v>
      </c>
      <c r="B2750" s="183" t="s">
        <v>1060</v>
      </c>
      <c r="C2750">
        <v>125175180154</v>
      </c>
      <c r="D2750">
        <v>34</v>
      </c>
      <c r="E2750">
        <v>0</v>
      </c>
      <c r="F2750">
        <v>0</v>
      </c>
      <c r="G2750">
        <v>0</v>
      </c>
      <c r="H2750">
        <v>34</v>
      </c>
      <c r="I2750" s="183" t="s">
        <v>1061</v>
      </c>
      <c r="J2750" s="183" t="s">
        <v>12091</v>
      </c>
      <c r="K2750">
        <v>0</v>
      </c>
      <c r="L2750">
        <v>34</v>
      </c>
    </row>
    <row r="2751" spans="1:12">
      <c r="A2751" s="183" t="s">
        <v>317</v>
      </c>
      <c r="B2751" s="183" t="s">
        <v>1060</v>
      </c>
      <c r="C2751">
        <v>150075180154</v>
      </c>
      <c r="D2751">
        <v>291</v>
      </c>
      <c r="E2751">
        <v>0</v>
      </c>
      <c r="F2751">
        <v>0</v>
      </c>
      <c r="G2751">
        <v>0</v>
      </c>
      <c r="H2751">
        <v>291</v>
      </c>
      <c r="I2751" s="183" t="s">
        <v>1061</v>
      </c>
      <c r="J2751" s="183" t="s">
        <v>12092</v>
      </c>
      <c r="K2751">
        <v>0</v>
      </c>
      <c r="L2751">
        <v>291</v>
      </c>
    </row>
    <row r="2752" spans="1:12">
      <c r="A2752" s="183" t="s">
        <v>323</v>
      </c>
      <c r="B2752" s="183" t="s">
        <v>1060</v>
      </c>
      <c r="C2752">
        <v>200075180154</v>
      </c>
      <c r="D2752">
        <v>19</v>
      </c>
      <c r="E2752">
        <v>0</v>
      </c>
      <c r="F2752">
        <v>0</v>
      </c>
      <c r="G2752">
        <v>0</v>
      </c>
      <c r="H2752">
        <v>19</v>
      </c>
      <c r="I2752" s="183" t="s">
        <v>1061</v>
      </c>
      <c r="J2752" s="183" t="s">
        <v>12067</v>
      </c>
      <c r="K2752">
        <v>0</v>
      </c>
      <c r="L2752">
        <v>19</v>
      </c>
    </row>
    <row r="2753" spans="1:12">
      <c r="A2753" s="183" t="s">
        <v>327</v>
      </c>
      <c r="B2753" s="183" t="s">
        <v>1060</v>
      </c>
      <c r="C2753">
        <v>225175180154</v>
      </c>
      <c r="D2753">
        <v>39</v>
      </c>
      <c r="E2753">
        <v>0</v>
      </c>
      <c r="F2753">
        <v>0</v>
      </c>
      <c r="G2753">
        <v>0</v>
      </c>
      <c r="H2753">
        <v>39</v>
      </c>
      <c r="I2753" s="183" t="s">
        <v>1061</v>
      </c>
      <c r="J2753" s="183" t="s">
        <v>12067</v>
      </c>
      <c r="K2753">
        <v>0</v>
      </c>
      <c r="L2753">
        <v>39</v>
      </c>
    </row>
    <row r="2754" spans="1:12">
      <c r="A2754" s="183" t="s">
        <v>6324</v>
      </c>
      <c r="B2754" s="183" t="s">
        <v>1060</v>
      </c>
      <c r="C2754">
        <v>325125180154</v>
      </c>
      <c r="D2754">
        <v>134</v>
      </c>
      <c r="E2754">
        <v>0</v>
      </c>
      <c r="F2754">
        <v>3</v>
      </c>
      <c r="G2754">
        <v>0</v>
      </c>
      <c r="H2754">
        <v>137</v>
      </c>
      <c r="I2754" s="183" t="s">
        <v>1061</v>
      </c>
      <c r="J2754" s="183" t="s">
        <v>12053</v>
      </c>
      <c r="K2754">
        <v>0</v>
      </c>
      <c r="L2754">
        <v>134</v>
      </c>
    </row>
    <row r="2755" spans="1:12">
      <c r="A2755" s="183" t="s">
        <v>6106</v>
      </c>
      <c r="B2755" s="183" t="s">
        <v>1060</v>
      </c>
      <c r="C2755">
        <v>400175180154</v>
      </c>
      <c r="D2755">
        <v>49</v>
      </c>
      <c r="E2755">
        <v>0</v>
      </c>
      <c r="F2755">
        <v>0</v>
      </c>
      <c r="G2755">
        <v>0</v>
      </c>
      <c r="H2755">
        <v>49</v>
      </c>
      <c r="I2755" s="183" t="s">
        <v>1061</v>
      </c>
      <c r="J2755" s="183" t="s">
        <v>12093</v>
      </c>
      <c r="K2755">
        <v>0</v>
      </c>
      <c r="L2755">
        <v>49</v>
      </c>
    </row>
    <row r="2756" spans="1:12">
      <c r="A2756" s="183" t="s">
        <v>339</v>
      </c>
      <c r="B2756" s="183" t="s">
        <v>1060</v>
      </c>
      <c r="C2756">
        <v>475125180154</v>
      </c>
      <c r="D2756">
        <v>191</v>
      </c>
      <c r="E2756">
        <v>0</v>
      </c>
      <c r="F2756">
        <v>0</v>
      </c>
      <c r="G2756">
        <v>0</v>
      </c>
      <c r="H2756">
        <v>191</v>
      </c>
      <c r="I2756" s="183" t="s">
        <v>1061</v>
      </c>
      <c r="J2756" s="183" t="s">
        <v>12092</v>
      </c>
      <c r="K2756">
        <v>0</v>
      </c>
      <c r="L2756">
        <v>191</v>
      </c>
    </row>
    <row r="2757" spans="1:12">
      <c r="A2757" s="183" t="s">
        <v>3186</v>
      </c>
      <c r="B2757" s="183" t="s">
        <v>1060</v>
      </c>
      <c r="C2757">
        <v>500075180154</v>
      </c>
      <c r="D2757">
        <v>109</v>
      </c>
      <c r="E2757">
        <v>0</v>
      </c>
      <c r="F2757">
        <v>0</v>
      </c>
      <c r="G2757">
        <v>0</v>
      </c>
      <c r="H2757">
        <v>109</v>
      </c>
      <c r="I2757" s="183" t="s">
        <v>1061</v>
      </c>
      <c r="J2757" s="183" t="s">
        <v>12081</v>
      </c>
      <c r="K2757">
        <v>0</v>
      </c>
      <c r="L2757">
        <v>109</v>
      </c>
    </row>
    <row r="2758" spans="1:12">
      <c r="A2758" s="183" t="s">
        <v>5216</v>
      </c>
      <c r="B2758" s="183" t="s">
        <v>1060</v>
      </c>
      <c r="C2758">
        <v>500125180154</v>
      </c>
      <c r="D2758">
        <v>157</v>
      </c>
      <c r="E2758">
        <v>0</v>
      </c>
      <c r="F2758">
        <v>0</v>
      </c>
      <c r="G2758">
        <v>0</v>
      </c>
      <c r="H2758">
        <v>157</v>
      </c>
      <c r="I2758" s="183" t="s">
        <v>1061</v>
      </c>
      <c r="J2758" s="183" t="s">
        <v>12094</v>
      </c>
      <c r="K2758">
        <v>0</v>
      </c>
      <c r="L2758">
        <v>157</v>
      </c>
    </row>
    <row r="2759" spans="1:12">
      <c r="A2759" s="183" t="s">
        <v>351</v>
      </c>
      <c r="B2759" s="183" t="s">
        <v>1060</v>
      </c>
      <c r="C2759">
        <v>750125180154</v>
      </c>
      <c r="D2759">
        <v>184</v>
      </c>
      <c r="E2759">
        <v>0</v>
      </c>
      <c r="F2759">
        <v>0</v>
      </c>
      <c r="G2759">
        <v>0</v>
      </c>
      <c r="H2759">
        <v>184</v>
      </c>
      <c r="I2759" s="183" t="s">
        <v>1061</v>
      </c>
      <c r="J2759" s="183" t="s">
        <v>12067</v>
      </c>
      <c r="K2759">
        <v>0</v>
      </c>
      <c r="L2759">
        <v>184</v>
      </c>
    </row>
    <row r="2760" spans="1:12">
      <c r="A2760" s="183" t="s">
        <v>355</v>
      </c>
      <c r="B2760" s="183" t="s">
        <v>1060</v>
      </c>
      <c r="C2760">
        <v>850125180154</v>
      </c>
      <c r="D2760">
        <v>93</v>
      </c>
      <c r="E2760">
        <v>0</v>
      </c>
      <c r="F2760">
        <v>1</v>
      </c>
      <c r="G2760">
        <v>0</v>
      </c>
      <c r="H2760">
        <v>94</v>
      </c>
      <c r="I2760" s="183" t="s">
        <v>1061</v>
      </c>
      <c r="J2760" s="183" t="s">
        <v>12066</v>
      </c>
      <c r="K2760">
        <v>0</v>
      </c>
      <c r="L2760">
        <v>93</v>
      </c>
    </row>
    <row r="2761" spans="1:12">
      <c r="A2761" s="183" t="s">
        <v>5106</v>
      </c>
      <c r="B2761" s="183" t="s">
        <v>5107</v>
      </c>
      <c r="C2761">
        <v>90178204</v>
      </c>
      <c r="D2761">
        <v>179</v>
      </c>
      <c r="E2761">
        <v>0</v>
      </c>
      <c r="F2761">
        <v>0</v>
      </c>
      <c r="G2761">
        <v>0</v>
      </c>
      <c r="H2761">
        <v>179</v>
      </c>
      <c r="I2761" s="183" t="s">
        <v>990</v>
      </c>
      <c r="J2761" s="183" t="s">
        <v>12057</v>
      </c>
      <c r="K2761">
        <v>0</v>
      </c>
      <c r="L2761">
        <v>179</v>
      </c>
    </row>
    <row r="2762" spans="1:12">
      <c r="A2762" s="183" t="s">
        <v>5108</v>
      </c>
      <c r="B2762" s="183" t="s">
        <v>5109</v>
      </c>
      <c r="C2762">
        <v>90178208</v>
      </c>
      <c r="D2762">
        <v>714</v>
      </c>
      <c r="E2762">
        <v>0</v>
      </c>
      <c r="F2762">
        <v>0</v>
      </c>
      <c r="G2762">
        <v>0</v>
      </c>
      <c r="H2762">
        <v>714</v>
      </c>
      <c r="I2762" s="183" t="s">
        <v>990</v>
      </c>
      <c r="J2762" s="183" t="s">
        <v>12092</v>
      </c>
      <c r="K2762">
        <v>0</v>
      </c>
      <c r="L2762">
        <v>714</v>
      </c>
    </row>
    <row r="2763" spans="1:12">
      <c r="A2763" s="183" t="s">
        <v>5152</v>
      </c>
      <c r="B2763" s="183" t="s">
        <v>5153</v>
      </c>
      <c r="C2763">
        <v>90178209</v>
      </c>
      <c r="D2763">
        <v>545</v>
      </c>
      <c r="E2763">
        <v>0</v>
      </c>
      <c r="F2763">
        <v>0</v>
      </c>
      <c r="G2763">
        <v>0</v>
      </c>
      <c r="H2763">
        <v>545</v>
      </c>
      <c r="I2763" s="183" t="s">
        <v>990</v>
      </c>
      <c r="J2763" s="183" t="s">
        <v>12053</v>
      </c>
      <c r="K2763">
        <v>0</v>
      </c>
      <c r="L2763">
        <v>545</v>
      </c>
    </row>
    <row r="2764" spans="1:12">
      <c r="A2764" s="183" t="s">
        <v>5110</v>
      </c>
      <c r="B2764" s="183" t="s">
        <v>5111</v>
      </c>
      <c r="C2764">
        <v>90178213</v>
      </c>
      <c r="D2764">
        <v>328</v>
      </c>
      <c r="E2764">
        <v>0</v>
      </c>
      <c r="F2764">
        <v>0</v>
      </c>
      <c r="G2764">
        <v>0</v>
      </c>
      <c r="H2764">
        <v>328</v>
      </c>
      <c r="I2764" s="183" t="s">
        <v>990</v>
      </c>
      <c r="J2764" s="183" t="s">
        <v>12058</v>
      </c>
      <c r="K2764">
        <v>0</v>
      </c>
      <c r="L2764">
        <v>328</v>
      </c>
    </row>
    <row r="2765" spans="1:12">
      <c r="A2765" s="183" t="s">
        <v>697</v>
      </c>
      <c r="B2765" s="183" t="s">
        <v>1175</v>
      </c>
      <c r="C2765">
        <v>90189202</v>
      </c>
      <c r="D2765">
        <v>305</v>
      </c>
      <c r="E2765">
        <v>0</v>
      </c>
      <c r="F2765">
        <v>0</v>
      </c>
      <c r="G2765">
        <v>0</v>
      </c>
      <c r="H2765">
        <v>305</v>
      </c>
      <c r="I2765" s="183" t="s">
        <v>1025</v>
      </c>
      <c r="J2765" s="183" t="s">
        <v>12055</v>
      </c>
      <c r="K2765">
        <v>0</v>
      </c>
      <c r="L2765">
        <v>305</v>
      </c>
    </row>
    <row r="2766" spans="1:12">
      <c r="A2766" s="183" t="s">
        <v>699</v>
      </c>
      <c r="B2766" s="183" t="s">
        <v>1068</v>
      </c>
      <c r="C2766">
        <v>90189204</v>
      </c>
      <c r="D2766">
        <v>467</v>
      </c>
      <c r="E2766">
        <v>0</v>
      </c>
      <c r="F2766">
        <v>1</v>
      </c>
      <c r="G2766">
        <v>0</v>
      </c>
      <c r="H2766">
        <v>468</v>
      </c>
      <c r="I2766" s="183" t="s">
        <v>1025</v>
      </c>
      <c r="J2766" s="183" t="s">
        <v>12094</v>
      </c>
      <c r="K2766">
        <v>0</v>
      </c>
      <c r="L2766">
        <v>467</v>
      </c>
    </row>
    <row r="2767" spans="1:12">
      <c r="A2767" s="183" t="s">
        <v>5198</v>
      </c>
      <c r="B2767" s="183" t="s">
        <v>5199</v>
      </c>
      <c r="C2767">
        <v>90189236</v>
      </c>
      <c r="D2767">
        <v>305</v>
      </c>
      <c r="E2767">
        <v>0</v>
      </c>
      <c r="F2767">
        <v>2</v>
      </c>
      <c r="G2767">
        <v>0</v>
      </c>
      <c r="H2767">
        <v>307</v>
      </c>
      <c r="I2767" s="183" t="s">
        <v>1025</v>
      </c>
      <c r="J2767" s="183" t="s">
        <v>12091</v>
      </c>
      <c r="K2767">
        <v>0</v>
      </c>
      <c r="L2767">
        <v>305</v>
      </c>
    </row>
    <row r="2768" spans="1:12">
      <c r="A2768" s="183" t="s">
        <v>6844</v>
      </c>
      <c r="B2768" s="183" t="s">
        <v>6845</v>
      </c>
      <c r="C2768">
        <v>90179208</v>
      </c>
      <c r="D2768">
        <v>185</v>
      </c>
      <c r="E2768">
        <v>0</v>
      </c>
      <c r="F2768">
        <v>0</v>
      </c>
      <c r="G2768">
        <v>0</v>
      </c>
      <c r="H2768">
        <v>185</v>
      </c>
      <c r="I2768" s="183" t="s">
        <v>1067</v>
      </c>
      <c r="J2768" s="183" t="s">
        <v>12052</v>
      </c>
      <c r="K2768">
        <v>0</v>
      </c>
      <c r="L2768">
        <v>185</v>
      </c>
    </row>
    <row r="2769" spans="1:12">
      <c r="A2769" s="183" t="s">
        <v>4882</v>
      </c>
      <c r="B2769" s="183" t="s">
        <v>4883</v>
      </c>
      <c r="C2769">
        <v>90179221</v>
      </c>
      <c r="D2769">
        <v>250</v>
      </c>
      <c r="E2769">
        <v>0</v>
      </c>
      <c r="F2769">
        <v>0</v>
      </c>
      <c r="G2769">
        <v>0</v>
      </c>
      <c r="H2769">
        <v>250</v>
      </c>
      <c r="I2769" s="183" t="s">
        <v>1067</v>
      </c>
      <c r="J2769" s="183" t="s">
        <v>12091</v>
      </c>
      <c r="K2769">
        <v>0</v>
      </c>
      <c r="L2769">
        <v>250</v>
      </c>
    </row>
    <row r="2770" spans="1:12">
      <c r="A2770" s="183" t="s">
        <v>4967</v>
      </c>
      <c r="B2770" s="183" t="s">
        <v>4968</v>
      </c>
      <c r="C2770">
        <v>90179222</v>
      </c>
      <c r="D2770">
        <v>727</v>
      </c>
      <c r="E2770">
        <v>0</v>
      </c>
      <c r="F2770">
        <v>0</v>
      </c>
      <c r="G2770">
        <v>0</v>
      </c>
      <c r="H2770">
        <v>727</v>
      </c>
      <c r="I2770" s="183" t="s">
        <v>1067</v>
      </c>
      <c r="J2770" s="183" t="s">
        <v>12066</v>
      </c>
      <c r="K2770">
        <v>0</v>
      </c>
      <c r="L2770">
        <v>727</v>
      </c>
    </row>
    <row r="2771" spans="1:12">
      <c r="A2771" s="183" t="s">
        <v>4601</v>
      </c>
      <c r="B2771" s="183" t="s">
        <v>4602</v>
      </c>
      <c r="C2771">
        <v>90179223</v>
      </c>
      <c r="D2771">
        <v>459</v>
      </c>
      <c r="E2771">
        <v>0</v>
      </c>
      <c r="F2771">
        <v>1</v>
      </c>
      <c r="G2771">
        <v>0</v>
      </c>
      <c r="H2771">
        <v>460</v>
      </c>
      <c r="I2771" s="183" t="s">
        <v>1067</v>
      </c>
      <c r="J2771" s="183" t="s">
        <v>12056</v>
      </c>
      <c r="K2771">
        <v>0</v>
      </c>
      <c r="L2771">
        <v>459</v>
      </c>
    </row>
    <row r="2772" spans="1:12">
      <c r="A2772" s="183" t="s">
        <v>5096</v>
      </c>
      <c r="B2772" s="183" t="s">
        <v>5097</v>
      </c>
      <c r="C2772">
        <v>90179228</v>
      </c>
      <c r="D2772">
        <v>589</v>
      </c>
      <c r="E2772">
        <v>0</v>
      </c>
      <c r="F2772">
        <v>0</v>
      </c>
      <c r="G2772">
        <v>0</v>
      </c>
      <c r="H2772">
        <v>589</v>
      </c>
      <c r="I2772" s="183" t="s">
        <v>1067</v>
      </c>
      <c r="J2772" s="183" t="s">
        <v>12091</v>
      </c>
      <c r="K2772">
        <v>0</v>
      </c>
      <c r="L2772">
        <v>589</v>
      </c>
    </row>
    <row r="2773" spans="1:12">
      <c r="A2773" s="183" t="s">
        <v>815</v>
      </c>
      <c r="B2773" s="183" t="s">
        <v>1054</v>
      </c>
      <c r="C2773">
        <v>75125180159</v>
      </c>
      <c r="D2773">
        <v>474</v>
      </c>
      <c r="E2773">
        <v>0</v>
      </c>
      <c r="F2773">
        <v>0</v>
      </c>
      <c r="G2773">
        <v>0</v>
      </c>
      <c r="H2773">
        <v>474</v>
      </c>
      <c r="I2773" s="183" t="s">
        <v>1055</v>
      </c>
      <c r="J2773" s="183" t="s">
        <v>12094</v>
      </c>
      <c r="K2773">
        <v>0</v>
      </c>
      <c r="L2773">
        <v>474</v>
      </c>
    </row>
    <row r="2774" spans="1:12">
      <c r="A2774" s="183" t="s">
        <v>816</v>
      </c>
      <c r="B2774" s="183" t="s">
        <v>1054</v>
      </c>
      <c r="C2774">
        <v>275075180159</v>
      </c>
      <c r="D2774">
        <v>301</v>
      </c>
      <c r="E2774">
        <v>0</v>
      </c>
      <c r="F2774">
        <v>0</v>
      </c>
      <c r="G2774">
        <v>0</v>
      </c>
      <c r="H2774">
        <v>301</v>
      </c>
      <c r="I2774" s="183" t="s">
        <v>1055</v>
      </c>
      <c r="J2774" s="183" t="s">
        <v>12087</v>
      </c>
      <c r="K2774">
        <v>0</v>
      </c>
      <c r="L2774">
        <v>301</v>
      </c>
    </row>
    <row r="2775" spans="1:12">
      <c r="A2775" s="183" t="s">
        <v>817</v>
      </c>
      <c r="B2775" s="183" t="s">
        <v>1054</v>
      </c>
      <c r="C2775">
        <v>525075180159</v>
      </c>
      <c r="D2775">
        <v>207</v>
      </c>
      <c r="E2775">
        <v>0</v>
      </c>
      <c r="F2775">
        <v>0</v>
      </c>
      <c r="G2775">
        <v>0</v>
      </c>
      <c r="H2775">
        <v>207</v>
      </c>
      <c r="I2775" s="183" t="s">
        <v>1055</v>
      </c>
      <c r="J2775" s="183" t="s">
        <v>12091</v>
      </c>
      <c r="K2775">
        <v>0</v>
      </c>
      <c r="L2775">
        <v>207</v>
      </c>
    </row>
    <row r="2776" spans="1:12">
      <c r="A2776" s="183" t="s">
        <v>818</v>
      </c>
      <c r="B2776" s="183" t="s">
        <v>1054</v>
      </c>
      <c r="C2776">
        <v>650125180159</v>
      </c>
      <c r="D2776">
        <v>488</v>
      </c>
      <c r="E2776">
        <v>0</v>
      </c>
      <c r="F2776">
        <v>0</v>
      </c>
      <c r="G2776">
        <v>0</v>
      </c>
      <c r="H2776">
        <v>488</v>
      </c>
      <c r="I2776" s="183" t="s">
        <v>1055</v>
      </c>
      <c r="J2776" s="183" t="s">
        <v>12087</v>
      </c>
      <c r="K2776">
        <v>0</v>
      </c>
      <c r="L2776">
        <v>488</v>
      </c>
    </row>
    <row r="2777" spans="1:12">
      <c r="A2777" s="183" t="s">
        <v>819</v>
      </c>
      <c r="B2777" s="183" t="s">
        <v>1054</v>
      </c>
      <c r="C2777">
        <v>700075180159</v>
      </c>
      <c r="D2777">
        <v>255</v>
      </c>
      <c r="E2777">
        <v>0</v>
      </c>
      <c r="F2777">
        <v>0</v>
      </c>
      <c r="G2777">
        <v>0</v>
      </c>
      <c r="H2777">
        <v>255</v>
      </c>
      <c r="I2777" s="183" t="s">
        <v>1055</v>
      </c>
      <c r="J2777" s="183" t="s">
        <v>12092</v>
      </c>
      <c r="K2777">
        <v>0</v>
      </c>
      <c r="L2777">
        <v>255</v>
      </c>
    </row>
    <row r="2778" spans="1:12">
      <c r="A2778" s="183" t="s">
        <v>2962</v>
      </c>
      <c r="B2778" s="183" t="s">
        <v>1054</v>
      </c>
      <c r="C2778">
        <v>700125180159</v>
      </c>
      <c r="D2778">
        <v>72</v>
      </c>
      <c r="E2778">
        <v>0</v>
      </c>
      <c r="F2778">
        <v>0</v>
      </c>
      <c r="G2778">
        <v>0</v>
      </c>
      <c r="H2778">
        <v>72</v>
      </c>
      <c r="I2778" s="183" t="s">
        <v>1055</v>
      </c>
      <c r="J2778" s="183" t="s">
        <v>12053</v>
      </c>
      <c r="K2778">
        <v>0</v>
      </c>
      <c r="L2778">
        <v>72</v>
      </c>
    </row>
    <row r="2779" spans="1:12">
      <c r="A2779" s="183" t="s">
        <v>4599</v>
      </c>
      <c r="B2779" s="183" t="s">
        <v>4600</v>
      </c>
      <c r="C2779">
        <v>64000209</v>
      </c>
      <c r="D2779">
        <v>211</v>
      </c>
      <c r="E2779">
        <v>0</v>
      </c>
      <c r="F2779">
        <v>0</v>
      </c>
      <c r="G2779">
        <v>0</v>
      </c>
      <c r="H2779">
        <v>211</v>
      </c>
      <c r="I2779" s="183" t="s">
        <v>1000</v>
      </c>
      <c r="J2779" s="183" t="s">
        <v>12067</v>
      </c>
      <c r="K2779">
        <v>0</v>
      </c>
      <c r="L2779">
        <v>211</v>
      </c>
    </row>
    <row r="2780" spans="1:12">
      <c r="A2780" s="183" t="s">
        <v>1130</v>
      </c>
      <c r="B2780" s="183" t="s">
        <v>1131</v>
      </c>
      <c r="C2780">
        <v>64000216</v>
      </c>
      <c r="D2780">
        <v>128</v>
      </c>
      <c r="E2780">
        <v>0</v>
      </c>
      <c r="F2780">
        <v>1</v>
      </c>
      <c r="G2780">
        <v>0</v>
      </c>
      <c r="H2780">
        <v>129</v>
      </c>
      <c r="I2780" s="183" t="s">
        <v>1000</v>
      </c>
      <c r="J2780" s="183" t="s">
        <v>12092</v>
      </c>
      <c r="K2780">
        <v>0</v>
      </c>
      <c r="L2780">
        <v>128</v>
      </c>
    </row>
    <row r="2781" spans="1:12">
      <c r="A2781" s="183" t="s">
        <v>1317</v>
      </c>
      <c r="B2781" s="183" t="s">
        <v>1318</v>
      </c>
      <c r="C2781">
        <v>64000222</v>
      </c>
      <c r="D2781">
        <v>118</v>
      </c>
      <c r="E2781">
        <v>0</v>
      </c>
      <c r="F2781">
        <v>0</v>
      </c>
      <c r="G2781">
        <v>0</v>
      </c>
      <c r="H2781">
        <v>118</v>
      </c>
      <c r="I2781" s="183" t="s">
        <v>1000</v>
      </c>
      <c r="J2781" s="183" t="s">
        <v>12092</v>
      </c>
      <c r="K2781">
        <v>0</v>
      </c>
      <c r="L2781">
        <v>118</v>
      </c>
    </row>
    <row r="2782" spans="1:12">
      <c r="A2782" s="183" t="s">
        <v>1121</v>
      </c>
      <c r="B2782" s="183" t="s">
        <v>1122</v>
      </c>
      <c r="C2782">
        <v>64000232</v>
      </c>
      <c r="D2782">
        <v>442</v>
      </c>
      <c r="E2782">
        <v>0</v>
      </c>
      <c r="F2782">
        <v>1</v>
      </c>
      <c r="G2782">
        <v>0</v>
      </c>
      <c r="H2782">
        <v>443</v>
      </c>
      <c r="I2782" s="183" t="s">
        <v>1000</v>
      </c>
      <c r="J2782" s="183" t="s">
        <v>12093</v>
      </c>
      <c r="K2782">
        <v>0</v>
      </c>
      <c r="L2782">
        <v>442</v>
      </c>
    </row>
    <row r="2783" spans="1:12">
      <c r="A2783" s="183" t="s">
        <v>1475</v>
      </c>
      <c r="B2783" s="183" t="s">
        <v>1476</v>
      </c>
      <c r="C2783">
        <v>64000236</v>
      </c>
      <c r="D2783">
        <v>355</v>
      </c>
      <c r="E2783">
        <v>0</v>
      </c>
      <c r="F2783">
        <v>0</v>
      </c>
      <c r="G2783">
        <v>0</v>
      </c>
      <c r="H2783">
        <v>355</v>
      </c>
      <c r="I2783" s="183" t="s">
        <v>1000</v>
      </c>
      <c r="J2783" s="183" t="s">
        <v>12093</v>
      </c>
      <c r="K2783">
        <v>0</v>
      </c>
      <c r="L2783">
        <v>355</v>
      </c>
    </row>
    <row r="2784" spans="1:12">
      <c r="A2784" s="183" t="s">
        <v>2673</v>
      </c>
      <c r="B2784" s="183" t="s">
        <v>2674</v>
      </c>
      <c r="C2784">
        <v>64000238</v>
      </c>
      <c r="D2784">
        <v>67</v>
      </c>
      <c r="E2784">
        <v>0</v>
      </c>
      <c r="F2784">
        <v>77</v>
      </c>
      <c r="G2784">
        <v>0</v>
      </c>
      <c r="H2784">
        <v>144</v>
      </c>
      <c r="I2784" s="183" t="s">
        <v>1000</v>
      </c>
      <c r="J2784" s="183" t="s">
        <v>12091</v>
      </c>
      <c r="K2784">
        <v>0</v>
      </c>
      <c r="L2784">
        <v>67</v>
      </c>
    </row>
    <row r="2785" spans="1:12">
      <c r="A2785" s="183" t="s">
        <v>1814</v>
      </c>
      <c r="B2785" s="183" t="s">
        <v>1815</v>
      </c>
      <c r="C2785">
        <v>64000240</v>
      </c>
      <c r="D2785">
        <v>323</v>
      </c>
      <c r="E2785">
        <v>0</v>
      </c>
      <c r="F2785">
        <v>0</v>
      </c>
      <c r="G2785">
        <v>0</v>
      </c>
      <c r="H2785">
        <v>323</v>
      </c>
      <c r="I2785" s="183" t="s">
        <v>1000</v>
      </c>
      <c r="J2785" s="183" t="s">
        <v>12093</v>
      </c>
      <c r="K2785">
        <v>0</v>
      </c>
      <c r="L2785">
        <v>323</v>
      </c>
    </row>
    <row r="2786" spans="1:12">
      <c r="A2786" s="183" t="s">
        <v>367</v>
      </c>
      <c r="B2786" s="183" t="s">
        <v>1123</v>
      </c>
      <c r="C2786">
        <v>63010214</v>
      </c>
      <c r="D2786">
        <v>490</v>
      </c>
      <c r="E2786">
        <v>0</v>
      </c>
      <c r="F2786">
        <v>1</v>
      </c>
      <c r="G2786">
        <v>0</v>
      </c>
      <c r="H2786">
        <v>491</v>
      </c>
      <c r="I2786" s="183" t="s">
        <v>988</v>
      </c>
      <c r="J2786" s="183" t="s">
        <v>12091</v>
      </c>
      <c r="K2786">
        <v>0</v>
      </c>
      <c r="L2786">
        <v>490</v>
      </c>
    </row>
    <row r="2787" spans="1:12">
      <c r="A2787" s="183" t="s">
        <v>373</v>
      </c>
      <c r="B2787" s="183" t="s">
        <v>1216</v>
      </c>
      <c r="C2787">
        <v>63010223</v>
      </c>
      <c r="D2787">
        <v>41</v>
      </c>
      <c r="E2787">
        <v>0</v>
      </c>
      <c r="F2787">
        <v>0</v>
      </c>
      <c r="G2787">
        <v>0</v>
      </c>
      <c r="H2787">
        <v>41</v>
      </c>
      <c r="I2787" s="183" t="s">
        <v>988</v>
      </c>
      <c r="J2787" s="183" t="s">
        <v>12094</v>
      </c>
      <c r="K2787">
        <v>0</v>
      </c>
      <c r="L2787">
        <v>41</v>
      </c>
    </row>
    <row r="2788" spans="1:12">
      <c r="A2788" s="183" t="s">
        <v>379</v>
      </c>
      <c r="B2788" s="183" t="s">
        <v>1474</v>
      </c>
      <c r="C2788">
        <v>63010236</v>
      </c>
      <c r="D2788">
        <v>287</v>
      </c>
      <c r="E2788">
        <v>0</v>
      </c>
      <c r="F2788">
        <v>0</v>
      </c>
      <c r="G2788">
        <v>0</v>
      </c>
      <c r="H2788">
        <v>287</v>
      </c>
      <c r="I2788" s="183" t="s">
        <v>988</v>
      </c>
      <c r="J2788" s="183" t="s">
        <v>12063</v>
      </c>
      <c r="K2788">
        <v>0</v>
      </c>
      <c r="L2788">
        <v>287</v>
      </c>
    </row>
    <row r="2789" spans="1:12">
      <c r="A2789" s="183" t="s">
        <v>3122</v>
      </c>
      <c r="B2789" s="183" t="s">
        <v>3123</v>
      </c>
      <c r="C2789">
        <v>90180205</v>
      </c>
      <c r="D2789">
        <v>426</v>
      </c>
      <c r="E2789">
        <v>0</v>
      </c>
      <c r="F2789">
        <v>0</v>
      </c>
      <c r="G2789">
        <v>0</v>
      </c>
      <c r="H2789">
        <v>426</v>
      </c>
      <c r="I2789" s="183" t="s">
        <v>1020</v>
      </c>
      <c r="J2789" s="183" t="s">
        <v>12063</v>
      </c>
      <c r="K2789">
        <v>0</v>
      </c>
      <c r="L2789">
        <v>426</v>
      </c>
    </row>
    <row r="2790" spans="1:12">
      <c r="A2790" s="183" t="s">
        <v>5130</v>
      </c>
      <c r="B2790" s="183" t="s">
        <v>5131</v>
      </c>
      <c r="C2790">
        <v>90180206</v>
      </c>
      <c r="D2790">
        <v>461</v>
      </c>
      <c r="E2790">
        <v>0</v>
      </c>
      <c r="F2790">
        <v>1</v>
      </c>
      <c r="G2790">
        <v>0</v>
      </c>
      <c r="H2790">
        <v>462</v>
      </c>
      <c r="I2790" s="183" t="s">
        <v>1020</v>
      </c>
      <c r="J2790" s="183" t="s">
        <v>12091</v>
      </c>
      <c r="K2790">
        <v>0</v>
      </c>
      <c r="L2790">
        <v>461</v>
      </c>
    </row>
    <row r="2791" spans="1:12">
      <c r="A2791" s="183" t="s">
        <v>717</v>
      </c>
      <c r="B2791" s="183" t="s">
        <v>1478</v>
      </c>
      <c r="C2791">
        <v>90180230</v>
      </c>
      <c r="D2791">
        <v>206</v>
      </c>
      <c r="E2791">
        <v>0</v>
      </c>
      <c r="F2791">
        <v>0</v>
      </c>
      <c r="G2791">
        <v>0</v>
      </c>
      <c r="H2791">
        <v>206</v>
      </c>
      <c r="I2791" s="183" t="s">
        <v>1020</v>
      </c>
      <c r="J2791" s="183" t="s">
        <v>12092</v>
      </c>
      <c r="K2791">
        <v>0</v>
      </c>
      <c r="L2791">
        <v>206</v>
      </c>
    </row>
    <row r="2792" spans="1:12">
      <c r="A2792" s="183" t="s">
        <v>6321</v>
      </c>
      <c r="B2792" s="183" t="s">
        <v>8644</v>
      </c>
      <c r="C2792">
        <v>8800322943045</v>
      </c>
      <c r="D2792">
        <v>686</v>
      </c>
      <c r="E2792">
        <v>0</v>
      </c>
      <c r="F2792">
        <v>0</v>
      </c>
      <c r="G2792">
        <v>0</v>
      </c>
      <c r="H2792">
        <v>686</v>
      </c>
      <c r="I2792" s="183" t="s">
        <v>5710</v>
      </c>
      <c r="J2792" s="183" t="s">
        <v>12095</v>
      </c>
      <c r="K2792">
        <v>0</v>
      </c>
      <c r="L2792">
        <v>686</v>
      </c>
    </row>
    <row r="2793" spans="1:12">
      <c r="A2793" s="183" t="s">
        <v>5843</v>
      </c>
      <c r="B2793" s="183" t="s">
        <v>8644</v>
      </c>
      <c r="C2793">
        <v>8800322943113</v>
      </c>
      <c r="D2793">
        <v>616</v>
      </c>
      <c r="E2793">
        <v>0</v>
      </c>
      <c r="F2793">
        <v>0</v>
      </c>
      <c r="G2793">
        <v>0</v>
      </c>
      <c r="H2793">
        <v>616</v>
      </c>
      <c r="I2793" s="183" t="s">
        <v>5710</v>
      </c>
      <c r="J2793" s="183" t="s">
        <v>12048</v>
      </c>
      <c r="K2793">
        <v>0</v>
      </c>
      <c r="L2793">
        <v>616</v>
      </c>
    </row>
    <row r="2794" spans="1:12">
      <c r="A2794" s="183" t="s">
        <v>5711</v>
      </c>
      <c r="B2794" s="183" t="s">
        <v>8645</v>
      </c>
      <c r="C2794">
        <v>8800322943519</v>
      </c>
      <c r="D2794">
        <v>601</v>
      </c>
      <c r="E2794">
        <v>0</v>
      </c>
      <c r="F2794">
        <v>0</v>
      </c>
      <c r="G2794">
        <v>0</v>
      </c>
      <c r="H2794">
        <v>601</v>
      </c>
      <c r="I2794" s="183" t="s">
        <v>5712</v>
      </c>
      <c r="J2794" s="183" t="s">
        <v>12066</v>
      </c>
      <c r="K2794">
        <v>0</v>
      </c>
      <c r="L2794">
        <v>601</v>
      </c>
    </row>
    <row r="2795" spans="1:12">
      <c r="A2795" s="183" t="s">
        <v>5713</v>
      </c>
      <c r="B2795" s="183" t="s">
        <v>8645</v>
      </c>
      <c r="C2795">
        <v>8800322943595</v>
      </c>
      <c r="D2795">
        <v>605</v>
      </c>
      <c r="E2795">
        <v>0</v>
      </c>
      <c r="F2795">
        <v>0</v>
      </c>
      <c r="G2795">
        <v>0</v>
      </c>
      <c r="H2795">
        <v>605</v>
      </c>
      <c r="I2795" s="183" t="s">
        <v>5712</v>
      </c>
      <c r="J2795" s="183" t="s">
        <v>12063</v>
      </c>
      <c r="K2795">
        <v>0</v>
      </c>
      <c r="L2795">
        <v>605</v>
      </c>
    </row>
    <row r="2796" spans="1:12">
      <c r="A2796" s="183" t="s">
        <v>5851</v>
      </c>
      <c r="B2796" s="183" t="s">
        <v>8645</v>
      </c>
      <c r="C2796">
        <v>8800322943625</v>
      </c>
      <c r="D2796">
        <v>636</v>
      </c>
      <c r="E2796">
        <v>0</v>
      </c>
      <c r="F2796">
        <v>0</v>
      </c>
      <c r="G2796">
        <v>0</v>
      </c>
      <c r="H2796">
        <v>636</v>
      </c>
      <c r="I2796" s="183" t="s">
        <v>5712</v>
      </c>
      <c r="J2796" s="183" t="s">
        <v>12057</v>
      </c>
      <c r="K2796">
        <v>0</v>
      </c>
      <c r="L2796">
        <v>636</v>
      </c>
    </row>
    <row r="2797" spans="1:12">
      <c r="A2797" s="183" t="s">
        <v>388</v>
      </c>
      <c r="B2797" s="183" t="s">
        <v>389</v>
      </c>
      <c r="C2797">
        <v>80172205</v>
      </c>
      <c r="D2797">
        <v>365</v>
      </c>
      <c r="E2797">
        <v>0</v>
      </c>
      <c r="F2797">
        <v>1</v>
      </c>
      <c r="G2797">
        <v>0</v>
      </c>
      <c r="H2797">
        <v>366</v>
      </c>
      <c r="I2797" s="183" t="s">
        <v>1058</v>
      </c>
      <c r="J2797" s="183" t="s">
        <v>12091</v>
      </c>
      <c r="K2797">
        <v>0</v>
      </c>
      <c r="L2797">
        <v>365</v>
      </c>
    </row>
    <row r="2798" spans="1:12">
      <c r="A2798" s="183" t="s">
        <v>6239</v>
      </c>
      <c r="B2798" s="183" t="s">
        <v>6240</v>
      </c>
      <c r="C2798">
        <v>80172206</v>
      </c>
      <c r="D2798">
        <v>226</v>
      </c>
      <c r="E2798">
        <v>0</v>
      </c>
      <c r="F2798">
        <v>1</v>
      </c>
      <c r="G2798">
        <v>0</v>
      </c>
      <c r="H2798">
        <v>227</v>
      </c>
      <c r="I2798" s="183" t="s">
        <v>1058</v>
      </c>
      <c r="J2798" s="183" t="s">
        <v>12093</v>
      </c>
      <c r="K2798">
        <v>0</v>
      </c>
      <c r="L2798">
        <v>226</v>
      </c>
    </row>
    <row r="2799" spans="1:12">
      <c r="A2799" s="183" t="s">
        <v>6817</v>
      </c>
      <c r="B2799" s="183" t="s">
        <v>6818</v>
      </c>
      <c r="C2799">
        <v>80172209</v>
      </c>
      <c r="D2799">
        <v>213</v>
      </c>
      <c r="E2799">
        <v>0</v>
      </c>
      <c r="F2799">
        <v>0</v>
      </c>
      <c r="G2799">
        <v>0</v>
      </c>
      <c r="H2799">
        <v>213</v>
      </c>
      <c r="I2799" s="183" t="s">
        <v>1058</v>
      </c>
      <c r="J2799" s="183" t="s">
        <v>12058</v>
      </c>
      <c r="K2799">
        <v>0</v>
      </c>
      <c r="L2799">
        <v>213</v>
      </c>
    </row>
    <row r="2800" spans="1:12">
      <c r="A2800" s="183" t="s">
        <v>6363</v>
      </c>
      <c r="B2800" s="183" t="s">
        <v>6364</v>
      </c>
      <c r="C2800">
        <v>80172218</v>
      </c>
      <c r="D2800">
        <v>410</v>
      </c>
      <c r="E2800">
        <v>0</v>
      </c>
      <c r="F2800">
        <v>0</v>
      </c>
      <c r="G2800">
        <v>0</v>
      </c>
      <c r="H2800">
        <v>410</v>
      </c>
      <c r="I2800" s="183" t="s">
        <v>1058</v>
      </c>
      <c r="J2800" s="183" t="s">
        <v>12052</v>
      </c>
      <c r="K2800">
        <v>0</v>
      </c>
      <c r="L2800">
        <v>410</v>
      </c>
    </row>
    <row r="2801" spans="1:12">
      <c r="A2801" s="183" t="s">
        <v>7492</v>
      </c>
      <c r="B2801" s="183" t="s">
        <v>6338</v>
      </c>
      <c r="C2801">
        <v>8800358433534</v>
      </c>
      <c r="D2801">
        <v>303</v>
      </c>
      <c r="E2801">
        <v>0</v>
      </c>
      <c r="F2801">
        <v>0</v>
      </c>
      <c r="G2801">
        <v>0</v>
      </c>
      <c r="H2801">
        <v>303</v>
      </c>
      <c r="I2801" s="183" t="s">
        <v>6400</v>
      </c>
      <c r="J2801" s="183" t="s">
        <v>12050</v>
      </c>
      <c r="K2801">
        <v>0</v>
      </c>
      <c r="L2801">
        <v>303</v>
      </c>
    </row>
    <row r="2802" spans="1:12">
      <c r="A2802" s="183" t="s">
        <v>7221</v>
      </c>
      <c r="B2802" s="183" t="s">
        <v>6338</v>
      </c>
      <c r="C2802">
        <v>8800358433572</v>
      </c>
      <c r="D2802">
        <v>161</v>
      </c>
      <c r="E2802">
        <v>0</v>
      </c>
      <c r="F2802">
        <v>0</v>
      </c>
      <c r="G2802">
        <v>0</v>
      </c>
      <c r="H2802">
        <v>161</v>
      </c>
      <c r="I2802" s="183" t="s">
        <v>6400</v>
      </c>
      <c r="J2802" s="183" t="s">
        <v>12048</v>
      </c>
      <c r="K2802">
        <v>0</v>
      </c>
      <c r="L2802">
        <v>161</v>
      </c>
    </row>
    <row r="2803" spans="1:12">
      <c r="A2803" s="183" t="s">
        <v>6846</v>
      </c>
      <c r="B2803" s="183" t="s">
        <v>6338</v>
      </c>
      <c r="C2803">
        <v>8800358433701</v>
      </c>
      <c r="D2803">
        <v>273</v>
      </c>
      <c r="E2803">
        <v>0</v>
      </c>
      <c r="F2803">
        <v>0</v>
      </c>
      <c r="G2803">
        <v>0</v>
      </c>
      <c r="H2803">
        <v>273</v>
      </c>
      <c r="I2803" s="183" t="s">
        <v>6400</v>
      </c>
      <c r="J2803" s="183" t="s">
        <v>12055</v>
      </c>
      <c r="K2803">
        <v>0</v>
      </c>
      <c r="L2803">
        <v>273</v>
      </c>
    </row>
    <row r="2804" spans="1:12">
      <c r="A2804" s="183" t="s">
        <v>6439</v>
      </c>
      <c r="B2804" s="183" t="s">
        <v>6338</v>
      </c>
      <c r="C2804">
        <v>8800358433749</v>
      </c>
      <c r="D2804">
        <v>360</v>
      </c>
      <c r="E2804">
        <v>0</v>
      </c>
      <c r="F2804">
        <v>0</v>
      </c>
      <c r="G2804">
        <v>0</v>
      </c>
      <c r="H2804">
        <v>360</v>
      </c>
      <c r="I2804" s="183" t="s">
        <v>6400</v>
      </c>
      <c r="J2804" s="183" t="s">
        <v>12066</v>
      </c>
      <c r="K2804">
        <v>0</v>
      </c>
      <c r="L2804">
        <v>360</v>
      </c>
    </row>
    <row r="2805" spans="1:12">
      <c r="A2805" s="183" t="s">
        <v>6438</v>
      </c>
      <c r="B2805" s="183" t="s">
        <v>6338</v>
      </c>
      <c r="C2805">
        <v>8800358433787</v>
      </c>
      <c r="D2805">
        <v>189</v>
      </c>
      <c r="E2805">
        <v>0</v>
      </c>
      <c r="F2805">
        <v>0</v>
      </c>
      <c r="G2805">
        <v>0</v>
      </c>
      <c r="H2805">
        <v>189</v>
      </c>
      <c r="I2805" s="183" t="s">
        <v>6400</v>
      </c>
      <c r="J2805" s="183" t="s">
        <v>12095</v>
      </c>
      <c r="K2805">
        <v>0</v>
      </c>
      <c r="L2805">
        <v>189</v>
      </c>
    </row>
    <row r="2806" spans="1:12">
      <c r="A2806" s="183" t="s">
        <v>6611</v>
      </c>
      <c r="B2806" s="183" t="s">
        <v>1029</v>
      </c>
      <c r="C2806">
        <v>8800358433817</v>
      </c>
      <c r="D2806">
        <v>113</v>
      </c>
      <c r="E2806">
        <v>0</v>
      </c>
      <c r="F2806">
        <v>0</v>
      </c>
      <c r="G2806">
        <v>0</v>
      </c>
      <c r="H2806">
        <v>113</v>
      </c>
      <c r="I2806" s="183" t="s">
        <v>6453</v>
      </c>
      <c r="J2806" s="183" t="s">
        <v>12066</v>
      </c>
      <c r="K2806">
        <v>0</v>
      </c>
      <c r="L2806">
        <v>113</v>
      </c>
    </row>
    <row r="2807" spans="1:12">
      <c r="A2807" s="183" t="s">
        <v>6466</v>
      </c>
      <c r="B2807" s="183" t="s">
        <v>1029</v>
      </c>
      <c r="C2807">
        <v>8800358433831</v>
      </c>
      <c r="D2807">
        <v>756</v>
      </c>
      <c r="E2807">
        <v>0</v>
      </c>
      <c r="F2807">
        <v>0</v>
      </c>
      <c r="G2807">
        <v>0</v>
      </c>
      <c r="H2807">
        <v>756</v>
      </c>
      <c r="I2807" s="183" t="s">
        <v>6453</v>
      </c>
      <c r="J2807" s="183" t="s">
        <v>12063</v>
      </c>
      <c r="K2807">
        <v>0</v>
      </c>
      <c r="L2807">
        <v>756</v>
      </c>
    </row>
    <row r="2808" spans="1:12">
      <c r="A2808" s="183" t="s">
        <v>6486</v>
      </c>
      <c r="B2808" s="183" t="s">
        <v>1029</v>
      </c>
      <c r="C2808">
        <v>8800358433992</v>
      </c>
      <c r="D2808">
        <v>319</v>
      </c>
      <c r="E2808">
        <v>0</v>
      </c>
      <c r="F2808">
        <v>0</v>
      </c>
      <c r="G2808">
        <v>0</v>
      </c>
      <c r="H2808">
        <v>319</v>
      </c>
      <c r="I2808" s="183" t="s">
        <v>6453</v>
      </c>
      <c r="J2808" s="183" t="s">
        <v>12050</v>
      </c>
      <c r="K2808">
        <v>0</v>
      </c>
      <c r="L2808">
        <v>319</v>
      </c>
    </row>
    <row r="2809" spans="1:12">
      <c r="A2809" s="183" t="s">
        <v>6889</v>
      </c>
      <c r="B2809" s="183" t="s">
        <v>1026</v>
      </c>
      <c r="C2809">
        <v>8800358434104</v>
      </c>
      <c r="D2809">
        <v>455</v>
      </c>
      <c r="E2809">
        <v>0</v>
      </c>
      <c r="F2809">
        <v>0</v>
      </c>
      <c r="G2809">
        <v>0</v>
      </c>
      <c r="H2809">
        <v>455</v>
      </c>
      <c r="I2809" s="183" t="s">
        <v>6450</v>
      </c>
      <c r="J2809" s="183" t="s">
        <v>12061</v>
      </c>
      <c r="K2809">
        <v>0</v>
      </c>
      <c r="L2809">
        <v>455</v>
      </c>
    </row>
    <row r="2810" spans="1:12">
      <c r="A2810" s="183" t="s">
        <v>6478</v>
      </c>
      <c r="B2810" s="183" t="s">
        <v>1026</v>
      </c>
      <c r="C2810">
        <v>8800358434203</v>
      </c>
      <c r="D2810">
        <v>550</v>
      </c>
      <c r="E2810">
        <v>0</v>
      </c>
      <c r="F2810">
        <v>0</v>
      </c>
      <c r="G2810">
        <v>0</v>
      </c>
      <c r="H2810">
        <v>550</v>
      </c>
      <c r="I2810" s="183" t="s">
        <v>6450</v>
      </c>
      <c r="J2810" s="183" t="s">
        <v>12061</v>
      </c>
      <c r="K2810">
        <v>0</v>
      </c>
      <c r="L2810">
        <v>550</v>
      </c>
    </row>
    <row r="2811" spans="1:12">
      <c r="A2811" s="183" t="s">
        <v>7728</v>
      </c>
      <c r="B2811" s="183" t="s">
        <v>1026</v>
      </c>
      <c r="C2811">
        <v>8800358434210</v>
      </c>
      <c r="D2811">
        <v>137</v>
      </c>
      <c r="E2811">
        <v>0</v>
      </c>
      <c r="F2811">
        <v>0</v>
      </c>
      <c r="G2811">
        <v>0</v>
      </c>
      <c r="H2811">
        <v>137</v>
      </c>
      <c r="I2811" s="183" t="s">
        <v>6450</v>
      </c>
      <c r="J2811" s="183" t="s">
        <v>12095</v>
      </c>
      <c r="K2811">
        <v>0</v>
      </c>
      <c r="L2811">
        <v>137</v>
      </c>
    </row>
    <row r="2812" spans="1:12">
      <c r="A2812" s="183" t="s">
        <v>6412</v>
      </c>
      <c r="B2812" s="183" t="s">
        <v>6338</v>
      </c>
      <c r="C2812">
        <v>8800358433671</v>
      </c>
      <c r="D2812">
        <v>440</v>
      </c>
      <c r="E2812">
        <v>0</v>
      </c>
      <c r="F2812">
        <v>0</v>
      </c>
      <c r="G2812">
        <v>0</v>
      </c>
      <c r="H2812">
        <v>440</v>
      </c>
      <c r="I2812" s="183" t="s">
        <v>6400</v>
      </c>
      <c r="J2812" s="183" t="s">
        <v>12061</v>
      </c>
      <c r="K2812">
        <v>0</v>
      </c>
      <c r="L2812">
        <v>440</v>
      </c>
    </row>
    <row r="2813" spans="1:12">
      <c r="A2813" s="183" t="s">
        <v>7547</v>
      </c>
      <c r="B2813" s="183" t="s">
        <v>6338</v>
      </c>
      <c r="C2813">
        <v>8800358433718</v>
      </c>
      <c r="D2813">
        <v>379</v>
      </c>
      <c r="E2813">
        <v>0</v>
      </c>
      <c r="F2813">
        <v>0</v>
      </c>
      <c r="G2813">
        <v>0</v>
      </c>
      <c r="H2813">
        <v>379</v>
      </c>
      <c r="I2813" s="183" t="s">
        <v>6400</v>
      </c>
      <c r="J2813" s="183" t="s">
        <v>12095</v>
      </c>
      <c r="K2813">
        <v>0</v>
      </c>
      <c r="L2813">
        <v>379</v>
      </c>
    </row>
    <row r="2814" spans="1:12">
      <c r="A2814" s="183" t="s">
        <v>6610</v>
      </c>
      <c r="B2814" s="183" t="s">
        <v>1029</v>
      </c>
      <c r="C2814">
        <v>8800358433824</v>
      </c>
      <c r="D2814">
        <v>607</v>
      </c>
      <c r="E2814">
        <v>0</v>
      </c>
      <c r="F2814">
        <v>0</v>
      </c>
      <c r="G2814">
        <v>0</v>
      </c>
      <c r="H2814">
        <v>607</v>
      </c>
      <c r="I2814" s="183" t="s">
        <v>6453</v>
      </c>
      <c r="J2814" s="183" t="s">
        <v>12055</v>
      </c>
      <c r="K2814">
        <v>0</v>
      </c>
      <c r="L2814">
        <v>607</v>
      </c>
    </row>
    <row r="2815" spans="1:12">
      <c r="A2815" s="183" t="s">
        <v>6479</v>
      </c>
      <c r="B2815" s="183" t="s">
        <v>1029</v>
      </c>
      <c r="C2815">
        <v>8800358433848</v>
      </c>
      <c r="D2815">
        <v>201</v>
      </c>
      <c r="E2815">
        <v>0</v>
      </c>
      <c r="F2815">
        <v>0</v>
      </c>
      <c r="G2815">
        <v>0</v>
      </c>
      <c r="H2815">
        <v>201</v>
      </c>
      <c r="I2815" s="183" t="s">
        <v>6453</v>
      </c>
      <c r="J2815" s="183" t="s">
        <v>12057</v>
      </c>
      <c r="K2815">
        <v>0</v>
      </c>
      <c r="L2815">
        <v>201</v>
      </c>
    </row>
    <row r="2816" spans="1:12">
      <c r="A2816" s="183" t="s">
        <v>6456</v>
      </c>
      <c r="B2816" s="183" t="s">
        <v>1029</v>
      </c>
      <c r="C2816">
        <v>8800358433893</v>
      </c>
      <c r="D2816">
        <v>452</v>
      </c>
      <c r="E2816">
        <v>0</v>
      </c>
      <c r="F2816">
        <v>0</v>
      </c>
      <c r="G2816">
        <v>0</v>
      </c>
      <c r="H2816">
        <v>452</v>
      </c>
      <c r="I2816" s="183" t="s">
        <v>6453</v>
      </c>
      <c r="J2816" s="183" t="s">
        <v>12057</v>
      </c>
      <c r="K2816">
        <v>0</v>
      </c>
      <c r="L2816">
        <v>452</v>
      </c>
    </row>
    <row r="2817" spans="1:12">
      <c r="A2817" s="183" t="s">
        <v>6617</v>
      </c>
      <c r="B2817" s="183" t="s">
        <v>1029</v>
      </c>
      <c r="C2817">
        <v>8800358433909</v>
      </c>
      <c r="D2817">
        <v>196</v>
      </c>
      <c r="E2817">
        <v>0</v>
      </c>
      <c r="F2817">
        <v>0</v>
      </c>
      <c r="G2817">
        <v>0</v>
      </c>
      <c r="H2817">
        <v>196</v>
      </c>
      <c r="I2817" s="183" t="s">
        <v>6453</v>
      </c>
      <c r="J2817" s="183" t="s">
        <v>12048</v>
      </c>
      <c r="K2817">
        <v>0</v>
      </c>
      <c r="L2817">
        <v>196</v>
      </c>
    </row>
    <row r="2818" spans="1:12">
      <c r="A2818" s="183" t="s">
        <v>7450</v>
      </c>
      <c r="B2818" s="183" t="s">
        <v>1029</v>
      </c>
      <c r="C2818">
        <v>8800358433978</v>
      </c>
      <c r="D2818">
        <v>428</v>
      </c>
      <c r="E2818">
        <v>0</v>
      </c>
      <c r="F2818">
        <v>0</v>
      </c>
      <c r="G2818">
        <v>0</v>
      </c>
      <c r="H2818">
        <v>428</v>
      </c>
      <c r="I2818" s="183" t="s">
        <v>6453</v>
      </c>
      <c r="J2818" s="183" t="s">
        <v>12095</v>
      </c>
      <c r="K2818">
        <v>0</v>
      </c>
      <c r="L2818">
        <v>428</v>
      </c>
    </row>
    <row r="2819" spans="1:12">
      <c r="A2819" s="183" t="s">
        <v>6628</v>
      </c>
      <c r="B2819" s="183" t="s">
        <v>1026</v>
      </c>
      <c r="C2819">
        <v>8800358434142</v>
      </c>
      <c r="D2819">
        <v>116</v>
      </c>
      <c r="E2819">
        <v>0</v>
      </c>
      <c r="F2819">
        <v>0</v>
      </c>
      <c r="G2819">
        <v>0</v>
      </c>
      <c r="H2819">
        <v>116</v>
      </c>
      <c r="I2819" s="183" t="s">
        <v>6450</v>
      </c>
      <c r="J2819" s="183" t="s">
        <v>12061</v>
      </c>
      <c r="K2819">
        <v>0</v>
      </c>
      <c r="L2819">
        <v>116</v>
      </c>
    </row>
    <row r="2820" spans="1:12">
      <c r="A2820" s="183" t="s">
        <v>6487</v>
      </c>
      <c r="B2820" s="183" t="s">
        <v>1026</v>
      </c>
      <c r="C2820">
        <v>8800358434227</v>
      </c>
      <c r="D2820">
        <v>434</v>
      </c>
      <c r="E2820">
        <v>0</v>
      </c>
      <c r="F2820">
        <v>0</v>
      </c>
      <c r="G2820">
        <v>0</v>
      </c>
      <c r="H2820">
        <v>434</v>
      </c>
      <c r="I2820" s="183" t="s">
        <v>6450</v>
      </c>
      <c r="J2820" s="183" t="s">
        <v>12055</v>
      </c>
      <c r="K2820">
        <v>0</v>
      </c>
      <c r="L2820">
        <v>434</v>
      </c>
    </row>
    <row r="2821" spans="1:12">
      <c r="A2821" s="183" t="s">
        <v>6702</v>
      </c>
      <c r="B2821" s="183" t="s">
        <v>1026</v>
      </c>
      <c r="C2821">
        <v>8800358434302</v>
      </c>
      <c r="D2821">
        <v>185</v>
      </c>
      <c r="E2821">
        <v>0</v>
      </c>
      <c r="F2821">
        <v>0</v>
      </c>
      <c r="G2821">
        <v>0</v>
      </c>
      <c r="H2821">
        <v>185</v>
      </c>
      <c r="I2821" s="183" t="s">
        <v>6450</v>
      </c>
      <c r="J2821" s="183" t="s">
        <v>12095</v>
      </c>
      <c r="K2821">
        <v>0</v>
      </c>
      <c r="L2821">
        <v>185</v>
      </c>
    </row>
    <row r="2822" spans="1:12">
      <c r="A2822" s="183" t="s">
        <v>6483</v>
      </c>
      <c r="B2822" s="183" t="s">
        <v>1026</v>
      </c>
      <c r="C2822">
        <v>8800358434333</v>
      </c>
      <c r="D2822">
        <v>70</v>
      </c>
      <c r="E2822">
        <v>0</v>
      </c>
      <c r="F2822">
        <v>0</v>
      </c>
      <c r="G2822">
        <v>0</v>
      </c>
      <c r="H2822">
        <v>70</v>
      </c>
      <c r="I2822" s="183" t="s">
        <v>6450</v>
      </c>
      <c r="J2822" s="183" t="s">
        <v>12066</v>
      </c>
      <c r="K2822">
        <v>0</v>
      </c>
      <c r="L2822">
        <v>70</v>
      </c>
    </row>
    <row r="2823" spans="1:12">
      <c r="A2823" s="183" t="s">
        <v>402</v>
      </c>
      <c r="B2823" s="183" t="s">
        <v>1182</v>
      </c>
      <c r="C2823">
        <v>15860203</v>
      </c>
      <c r="D2823">
        <v>193</v>
      </c>
      <c r="E2823">
        <v>0</v>
      </c>
      <c r="F2823" s="501">
        <v>1395</v>
      </c>
      <c r="G2823">
        <v>0</v>
      </c>
      <c r="H2823" s="501">
        <v>1588</v>
      </c>
      <c r="I2823" s="183" t="s">
        <v>1183</v>
      </c>
      <c r="J2823" s="183" t="s">
        <v>12053</v>
      </c>
      <c r="K2823">
        <v>0</v>
      </c>
      <c r="L2823">
        <v>193</v>
      </c>
    </row>
    <row r="2824" spans="1:12">
      <c r="A2824" s="183" t="s">
        <v>411</v>
      </c>
      <c r="B2824" s="183" t="s">
        <v>1182</v>
      </c>
      <c r="C2824">
        <v>15860212</v>
      </c>
      <c r="D2824">
        <v>0</v>
      </c>
      <c r="E2824">
        <v>0</v>
      </c>
      <c r="F2824" s="501">
        <v>2576</v>
      </c>
      <c r="G2824">
        <v>0</v>
      </c>
      <c r="H2824" s="501">
        <v>2576</v>
      </c>
      <c r="I2824" s="183" t="s">
        <v>1183</v>
      </c>
      <c r="J2824" s="183" t="s">
        <v>12091</v>
      </c>
      <c r="K2824">
        <v>0</v>
      </c>
      <c r="L2824">
        <v>0</v>
      </c>
    </row>
    <row r="2825" spans="1:12">
      <c r="A2825" s="183" t="s">
        <v>421</v>
      </c>
      <c r="B2825" s="183" t="s">
        <v>1182</v>
      </c>
      <c r="C2825">
        <v>15860222</v>
      </c>
      <c r="D2825">
        <v>21</v>
      </c>
      <c r="E2825">
        <v>0</v>
      </c>
      <c r="F2825" s="501">
        <v>1633</v>
      </c>
      <c r="G2825">
        <v>0</v>
      </c>
      <c r="H2825" s="501">
        <v>1654</v>
      </c>
      <c r="I2825" s="183" t="s">
        <v>1183</v>
      </c>
      <c r="J2825" s="183" t="s">
        <v>12092</v>
      </c>
      <c r="K2825">
        <v>0</v>
      </c>
      <c r="L2825">
        <v>21</v>
      </c>
    </row>
    <row r="2826" spans="1:12">
      <c r="A2826" s="183" t="s">
        <v>3943</v>
      </c>
      <c r="B2826" s="183" t="s">
        <v>1010</v>
      </c>
      <c r="C2826">
        <v>15870210</v>
      </c>
      <c r="D2826">
        <v>0</v>
      </c>
      <c r="E2826">
        <v>0</v>
      </c>
      <c r="F2826">
        <v>241</v>
      </c>
      <c r="G2826">
        <v>0</v>
      </c>
      <c r="H2826">
        <v>241</v>
      </c>
      <c r="I2826" s="183" t="s">
        <v>1011</v>
      </c>
      <c r="J2826" s="183" t="s">
        <v>12053</v>
      </c>
      <c r="K2826">
        <v>0</v>
      </c>
      <c r="L2826">
        <v>0</v>
      </c>
    </row>
    <row r="2827" spans="1:12">
      <c r="A2827" s="183" t="s">
        <v>3924</v>
      </c>
      <c r="B2827" s="183" t="s">
        <v>1010</v>
      </c>
      <c r="C2827">
        <v>15870213</v>
      </c>
      <c r="D2827">
        <v>0</v>
      </c>
      <c r="E2827">
        <v>0</v>
      </c>
      <c r="F2827">
        <v>368</v>
      </c>
      <c r="G2827">
        <v>0</v>
      </c>
      <c r="H2827">
        <v>368</v>
      </c>
      <c r="I2827" s="183" t="s">
        <v>1011</v>
      </c>
      <c r="J2827" s="183" t="s">
        <v>12093</v>
      </c>
      <c r="K2827">
        <v>0</v>
      </c>
      <c r="L2827">
        <v>0</v>
      </c>
    </row>
    <row r="2828" spans="1:12">
      <c r="A2828" s="183" t="s">
        <v>3931</v>
      </c>
      <c r="B2828" s="183" t="s">
        <v>1010</v>
      </c>
      <c r="C2828">
        <v>15870219</v>
      </c>
      <c r="D2828">
        <v>16</v>
      </c>
      <c r="E2828">
        <v>0</v>
      </c>
      <c r="F2828">
        <v>172</v>
      </c>
      <c r="G2828">
        <v>0</v>
      </c>
      <c r="H2828">
        <v>188</v>
      </c>
      <c r="I2828" s="183" t="s">
        <v>1011</v>
      </c>
      <c r="J2828" s="183" t="s">
        <v>12059</v>
      </c>
      <c r="K2828">
        <v>0</v>
      </c>
      <c r="L2828">
        <v>16</v>
      </c>
    </row>
    <row r="2829" spans="1:12">
      <c r="A2829" s="183" t="s">
        <v>3937</v>
      </c>
      <c r="B2829" s="183" t="s">
        <v>1010</v>
      </c>
      <c r="C2829">
        <v>15870230</v>
      </c>
      <c r="D2829">
        <v>34</v>
      </c>
      <c r="E2829">
        <v>0</v>
      </c>
      <c r="F2829">
        <v>5</v>
      </c>
      <c r="G2829">
        <v>0</v>
      </c>
      <c r="H2829">
        <v>39</v>
      </c>
      <c r="I2829" s="183" t="s">
        <v>1011</v>
      </c>
      <c r="J2829" s="183" t="s">
        <v>12092</v>
      </c>
      <c r="K2829">
        <v>0</v>
      </c>
      <c r="L2829">
        <v>34</v>
      </c>
    </row>
    <row r="2830" spans="1:12">
      <c r="A2830" s="183" t="s">
        <v>442</v>
      </c>
      <c r="B2830" s="183" t="s">
        <v>1010</v>
      </c>
      <c r="C2830">
        <v>15870238</v>
      </c>
      <c r="D2830">
        <v>9</v>
      </c>
      <c r="E2830">
        <v>0</v>
      </c>
      <c r="F2830">
        <v>0</v>
      </c>
      <c r="G2830">
        <v>0</v>
      </c>
      <c r="H2830">
        <v>9</v>
      </c>
      <c r="I2830" s="183" t="s">
        <v>1011</v>
      </c>
      <c r="J2830" s="183" t="s">
        <v>12067</v>
      </c>
      <c r="K2830">
        <v>0</v>
      </c>
      <c r="L2830">
        <v>9</v>
      </c>
    </row>
    <row r="2831" spans="1:12">
      <c r="A2831" s="183" t="s">
        <v>445</v>
      </c>
      <c r="B2831" s="183" t="s">
        <v>1165</v>
      </c>
      <c r="C2831">
        <v>15880203</v>
      </c>
      <c r="D2831">
        <v>322</v>
      </c>
      <c r="E2831">
        <v>0</v>
      </c>
      <c r="F2831">
        <v>612</v>
      </c>
      <c r="G2831">
        <v>0</v>
      </c>
      <c r="H2831">
        <v>934</v>
      </c>
      <c r="I2831" s="183" t="s">
        <v>1166</v>
      </c>
      <c r="J2831" s="183" t="s">
        <v>12067</v>
      </c>
      <c r="K2831">
        <v>0</v>
      </c>
      <c r="L2831">
        <v>322</v>
      </c>
    </row>
    <row r="2832" spans="1:12">
      <c r="A2832" s="183" t="s">
        <v>470</v>
      </c>
      <c r="B2832" s="183" t="s">
        <v>1165</v>
      </c>
      <c r="C2832">
        <v>15880236</v>
      </c>
      <c r="D2832">
        <v>40</v>
      </c>
      <c r="E2832">
        <v>0</v>
      </c>
      <c r="F2832">
        <v>184</v>
      </c>
      <c r="G2832">
        <v>0</v>
      </c>
      <c r="H2832">
        <v>224</v>
      </c>
      <c r="I2832" s="183" t="s">
        <v>1166</v>
      </c>
      <c r="J2832" s="183" t="s">
        <v>12085</v>
      </c>
      <c r="K2832">
        <v>0</v>
      </c>
      <c r="L2832">
        <v>40</v>
      </c>
    </row>
    <row r="2833" spans="1:12">
      <c r="A2833" s="183" t="s">
        <v>488</v>
      </c>
      <c r="B2833" s="183" t="s">
        <v>1077</v>
      </c>
      <c r="C2833">
        <v>16920223</v>
      </c>
      <c r="D2833">
        <v>994</v>
      </c>
      <c r="E2833">
        <v>0</v>
      </c>
      <c r="F2833">
        <v>0</v>
      </c>
      <c r="G2833">
        <v>0</v>
      </c>
      <c r="H2833">
        <v>994</v>
      </c>
      <c r="I2833" s="183" t="s">
        <v>996</v>
      </c>
      <c r="J2833" s="183" t="s">
        <v>12067</v>
      </c>
      <c r="K2833">
        <v>0</v>
      </c>
      <c r="L2833">
        <v>994</v>
      </c>
    </row>
    <row r="2834" spans="1:12">
      <c r="A2834" s="183" t="s">
        <v>5777</v>
      </c>
      <c r="B2834" s="183" t="s">
        <v>1190</v>
      </c>
      <c r="C2834">
        <v>16920226</v>
      </c>
      <c r="D2834">
        <v>123</v>
      </c>
      <c r="E2834">
        <v>0</v>
      </c>
      <c r="F2834">
        <v>0</v>
      </c>
      <c r="G2834">
        <v>0</v>
      </c>
      <c r="H2834">
        <v>123</v>
      </c>
      <c r="I2834" s="183" t="s">
        <v>996</v>
      </c>
      <c r="J2834" s="183" t="s">
        <v>12081</v>
      </c>
      <c r="K2834">
        <v>0</v>
      </c>
      <c r="L2834">
        <v>123</v>
      </c>
    </row>
    <row r="2835" spans="1:12">
      <c r="A2835" s="183" t="s">
        <v>490</v>
      </c>
      <c r="B2835" s="183" t="s">
        <v>1208</v>
      </c>
      <c r="C2835">
        <v>16920230</v>
      </c>
      <c r="D2835">
        <v>183</v>
      </c>
      <c r="E2835">
        <v>0</v>
      </c>
      <c r="F2835">
        <v>0</v>
      </c>
      <c r="G2835">
        <v>0</v>
      </c>
      <c r="H2835">
        <v>183</v>
      </c>
      <c r="I2835" s="183" t="s">
        <v>996</v>
      </c>
      <c r="J2835" s="183" t="s">
        <v>12060</v>
      </c>
      <c r="K2835">
        <v>0</v>
      </c>
      <c r="L2835">
        <v>183</v>
      </c>
    </row>
    <row r="2836" spans="1:12">
      <c r="A2836" s="183" t="s">
        <v>732</v>
      </c>
      <c r="B2836" s="183" t="s">
        <v>1018</v>
      </c>
      <c r="C2836">
        <v>30010202</v>
      </c>
      <c r="D2836">
        <v>97</v>
      </c>
      <c r="E2836">
        <v>0</v>
      </c>
      <c r="F2836">
        <v>14</v>
      </c>
      <c r="G2836">
        <v>0</v>
      </c>
      <c r="H2836">
        <v>111</v>
      </c>
      <c r="I2836" s="183" t="s">
        <v>1019</v>
      </c>
      <c r="J2836" s="183" t="s">
        <v>12091</v>
      </c>
      <c r="K2836">
        <v>0</v>
      </c>
      <c r="L2836">
        <v>97</v>
      </c>
    </row>
    <row r="2837" spans="1:12">
      <c r="A2837" s="183" t="s">
        <v>733</v>
      </c>
      <c r="B2837" s="183" t="s">
        <v>1018</v>
      </c>
      <c r="C2837">
        <v>30010207</v>
      </c>
      <c r="D2837">
        <v>74</v>
      </c>
      <c r="E2837">
        <v>0</v>
      </c>
      <c r="F2837">
        <v>57</v>
      </c>
      <c r="G2837">
        <v>0</v>
      </c>
      <c r="H2837">
        <v>131</v>
      </c>
      <c r="I2837" s="183" t="s">
        <v>1019</v>
      </c>
      <c r="J2837" s="183" t="s">
        <v>12059</v>
      </c>
      <c r="K2837">
        <v>0</v>
      </c>
      <c r="L2837">
        <v>74</v>
      </c>
    </row>
    <row r="2838" spans="1:12">
      <c r="A2838" s="183" t="s">
        <v>506</v>
      </c>
      <c r="B2838" s="183" t="s">
        <v>1018</v>
      </c>
      <c r="C2838">
        <v>30010216</v>
      </c>
      <c r="D2838">
        <v>137</v>
      </c>
      <c r="E2838">
        <v>0</v>
      </c>
      <c r="F2838">
        <v>1</v>
      </c>
      <c r="G2838">
        <v>0</v>
      </c>
      <c r="H2838">
        <v>138</v>
      </c>
      <c r="I2838" s="183" t="s">
        <v>1019</v>
      </c>
      <c r="J2838" s="183" t="s">
        <v>12056</v>
      </c>
      <c r="K2838">
        <v>0</v>
      </c>
      <c r="L2838">
        <v>137</v>
      </c>
    </row>
    <row r="2839" spans="1:12">
      <c r="A2839" s="183" t="s">
        <v>510</v>
      </c>
      <c r="B2839" s="183" t="s">
        <v>1018</v>
      </c>
      <c r="C2839">
        <v>30010220</v>
      </c>
      <c r="D2839">
        <v>70</v>
      </c>
      <c r="E2839">
        <v>0</v>
      </c>
      <c r="F2839">
        <v>37</v>
      </c>
      <c r="G2839">
        <v>0</v>
      </c>
      <c r="H2839">
        <v>107</v>
      </c>
      <c r="I2839" s="183" t="s">
        <v>1019</v>
      </c>
      <c r="J2839" s="183" t="s">
        <v>12095</v>
      </c>
      <c r="K2839">
        <v>0</v>
      </c>
      <c r="L2839">
        <v>70</v>
      </c>
    </row>
    <row r="2840" spans="1:12">
      <c r="A2840" s="183" t="s">
        <v>513</v>
      </c>
      <c r="B2840" s="183" t="s">
        <v>1018</v>
      </c>
      <c r="C2840">
        <v>30010226</v>
      </c>
      <c r="D2840">
        <v>58</v>
      </c>
      <c r="E2840">
        <v>0</v>
      </c>
      <c r="F2840">
        <v>0</v>
      </c>
      <c r="G2840">
        <v>0</v>
      </c>
      <c r="H2840">
        <v>58</v>
      </c>
      <c r="I2840" s="183" t="s">
        <v>1019</v>
      </c>
      <c r="J2840" s="183" t="s">
        <v>12092</v>
      </c>
      <c r="K2840">
        <v>0</v>
      </c>
      <c r="L2840">
        <v>58</v>
      </c>
    </row>
    <row r="2841" spans="1:12">
      <c r="A2841" s="183" t="s">
        <v>736</v>
      </c>
      <c r="B2841" s="183" t="s">
        <v>1018</v>
      </c>
      <c r="C2841">
        <v>30010236</v>
      </c>
      <c r="D2841">
        <v>0</v>
      </c>
      <c r="E2841">
        <v>0</v>
      </c>
      <c r="F2841">
        <v>35</v>
      </c>
      <c r="G2841">
        <v>0</v>
      </c>
      <c r="H2841">
        <v>35</v>
      </c>
      <c r="I2841" s="183" t="s">
        <v>1019</v>
      </c>
      <c r="J2841" s="183" t="s">
        <v>12081</v>
      </c>
      <c r="K2841">
        <v>0</v>
      </c>
      <c r="L2841">
        <v>0</v>
      </c>
    </row>
    <row r="2842" spans="1:12">
      <c r="A2842" s="183" t="s">
        <v>517</v>
      </c>
      <c r="B2842" s="183" t="s">
        <v>991</v>
      </c>
      <c r="C2842">
        <v>30020202</v>
      </c>
      <c r="D2842">
        <v>33</v>
      </c>
      <c r="E2842">
        <v>0</v>
      </c>
      <c r="F2842">
        <v>0</v>
      </c>
      <c r="G2842">
        <v>0</v>
      </c>
      <c r="H2842">
        <v>33</v>
      </c>
      <c r="I2842" s="183" t="s">
        <v>992</v>
      </c>
      <c r="J2842" s="183" t="s">
        <v>12060</v>
      </c>
      <c r="K2842">
        <v>0</v>
      </c>
      <c r="L2842">
        <v>33</v>
      </c>
    </row>
    <row r="2843" spans="1:12">
      <c r="A2843" s="183" t="s">
        <v>538</v>
      </c>
      <c r="B2843" s="183" t="s">
        <v>991</v>
      </c>
      <c r="C2843">
        <v>30020232</v>
      </c>
      <c r="D2843">
        <v>0</v>
      </c>
      <c r="E2843">
        <v>0</v>
      </c>
      <c r="F2843">
        <v>51</v>
      </c>
      <c r="G2843">
        <v>0</v>
      </c>
      <c r="H2843">
        <v>51</v>
      </c>
      <c r="I2843" s="183" t="s">
        <v>992</v>
      </c>
      <c r="J2843" s="183" t="s">
        <v>12056</v>
      </c>
      <c r="K2843">
        <v>0</v>
      </c>
      <c r="L2843">
        <v>0</v>
      </c>
    </row>
    <row r="2844" spans="1:12">
      <c r="A2844" s="183" t="s">
        <v>4173</v>
      </c>
      <c r="B2844" s="183" t="s">
        <v>1048</v>
      </c>
      <c r="C2844">
        <v>33010205</v>
      </c>
      <c r="D2844">
        <v>28</v>
      </c>
      <c r="E2844">
        <v>0</v>
      </c>
      <c r="F2844">
        <v>0</v>
      </c>
      <c r="G2844">
        <v>0</v>
      </c>
      <c r="H2844">
        <v>28</v>
      </c>
      <c r="I2844" s="183" t="s">
        <v>1049</v>
      </c>
      <c r="J2844" s="183" t="s">
        <v>12066</v>
      </c>
      <c r="K2844">
        <v>0</v>
      </c>
      <c r="L2844">
        <v>28</v>
      </c>
    </row>
    <row r="2845" spans="1:12">
      <c r="A2845" s="183" t="s">
        <v>545</v>
      </c>
      <c r="B2845" s="183" t="s">
        <v>1048</v>
      </c>
      <c r="C2845">
        <v>33010228</v>
      </c>
      <c r="D2845">
        <v>65</v>
      </c>
      <c r="E2845">
        <v>0</v>
      </c>
      <c r="F2845">
        <v>23</v>
      </c>
      <c r="G2845">
        <v>0</v>
      </c>
      <c r="H2845">
        <v>88</v>
      </c>
      <c r="I2845" s="183" t="s">
        <v>1049</v>
      </c>
      <c r="J2845" s="183" t="s">
        <v>12057</v>
      </c>
      <c r="K2845">
        <v>0</v>
      </c>
      <c r="L2845">
        <v>65</v>
      </c>
    </row>
    <row r="2846" spans="1:12">
      <c r="A2846" s="183" t="s">
        <v>3532</v>
      </c>
      <c r="B2846" s="183" t="s">
        <v>1056</v>
      </c>
      <c r="C2846">
        <v>33020208</v>
      </c>
      <c r="D2846">
        <v>90</v>
      </c>
      <c r="E2846">
        <v>0</v>
      </c>
      <c r="F2846">
        <v>1</v>
      </c>
      <c r="G2846">
        <v>0</v>
      </c>
      <c r="H2846">
        <v>91</v>
      </c>
      <c r="I2846" s="183" t="s">
        <v>1057</v>
      </c>
      <c r="J2846" s="183" t="s">
        <v>12061</v>
      </c>
      <c r="K2846">
        <v>0</v>
      </c>
      <c r="L2846">
        <v>90</v>
      </c>
    </row>
    <row r="2847" spans="1:12">
      <c r="A2847" s="183" t="s">
        <v>3769</v>
      </c>
      <c r="B2847" s="183" t="s">
        <v>1056</v>
      </c>
      <c r="C2847">
        <v>33020218</v>
      </c>
      <c r="D2847">
        <v>134</v>
      </c>
      <c r="E2847">
        <v>0</v>
      </c>
      <c r="F2847">
        <v>7</v>
      </c>
      <c r="G2847">
        <v>0</v>
      </c>
      <c r="H2847">
        <v>141</v>
      </c>
      <c r="I2847" s="183" t="s">
        <v>1057</v>
      </c>
      <c r="J2847" s="183" t="s">
        <v>12061</v>
      </c>
      <c r="K2847">
        <v>0</v>
      </c>
      <c r="L2847">
        <v>134</v>
      </c>
    </row>
    <row r="2848" spans="1:12">
      <c r="A2848" s="183" t="s">
        <v>559</v>
      </c>
      <c r="B2848" s="183" t="s">
        <v>1003</v>
      </c>
      <c r="C2848">
        <v>33040205</v>
      </c>
      <c r="D2848">
        <v>67</v>
      </c>
      <c r="E2848">
        <v>0</v>
      </c>
      <c r="F2848">
        <v>10</v>
      </c>
      <c r="G2848">
        <v>0</v>
      </c>
      <c r="H2848">
        <v>77</v>
      </c>
      <c r="I2848" s="183" t="s">
        <v>1004</v>
      </c>
      <c r="J2848" s="183" t="s">
        <v>12091</v>
      </c>
      <c r="K2848">
        <v>0</v>
      </c>
      <c r="L2848">
        <v>67</v>
      </c>
    </row>
    <row r="2849" spans="1:12">
      <c r="A2849" s="183" t="s">
        <v>7529</v>
      </c>
      <c r="B2849" s="183" t="s">
        <v>1003</v>
      </c>
      <c r="C2849">
        <v>33040218</v>
      </c>
      <c r="D2849">
        <v>31</v>
      </c>
      <c r="E2849">
        <v>0</v>
      </c>
      <c r="F2849">
        <v>0</v>
      </c>
      <c r="G2849">
        <v>0</v>
      </c>
      <c r="H2849">
        <v>31</v>
      </c>
      <c r="I2849" s="183" t="s">
        <v>1004</v>
      </c>
      <c r="J2849" s="183" t="s">
        <v>12050</v>
      </c>
      <c r="K2849">
        <v>0</v>
      </c>
      <c r="L2849">
        <v>31</v>
      </c>
    </row>
    <row r="2850" spans="1:12">
      <c r="A2850" s="183" t="s">
        <v>744</v>
      </c>
      <c r="B2850" s="183" t="s">
        <v>1003</v>
      </c>
      <c r="C2850">
        <v>33040221</v>
      </c>
      <c r="D2850">
        <v>119</v>
      </c>
      <c r="E2850">
        <v>0</v>
      </c>
      <c r="F2850">
        <v>16</v>
      </c>
      <c r="G2850">
        <v>0</v>
      </c>
      <c r="H2850">
        <v>135</v>
      </c>
      <c r="I2850" s="183" t="s">
        <v>1004</v>
      </c>
      <c r="J2850" s="183" t="s">
        <v>12054</v>
      </c>
      <c r="K2850">
        <v>0</v>
      </c>
      <c r="L2850">
        <v>119</v>
      </c>
    </row>
    <row r="2851" spans="1:12">
      <c r="A2851" s="183" t="s">
        <v>4389</v>
      </c>
      <c r="B2851" s="183" t="s">
        <v>4390</v>
      </c>
      <c r="C2851">
        <v>8800269006322</v>
      </c>
      <c r="D2851">
        <v>191</v>
      </c>
      <c r="E2851">
        <v>0</v>
      </c>
      <c r="F2851">
        <v>0</v>
      </c>
      <c r="G2851">
        <v>0</v>
      </c>
      <c r="H2851">
        <v>191</v>
      </c>
      <c r="I2851" s="183" t="s">
        <v>4355</v>
      </c>
      <c r="J2851" s="183" t="s">
        <v>12050</v>
      </c>
      <c r="K2851">
        <v>0</v>
      </c>
      <c r="L2851">
        <v>191</v>
      </c>
    </row>
    <row r="2852" spans="1:12">
      <c r="A2852" s="183" t="s">
        <v>4391</v>
      </c>
      <c r="B2852" s="183" t="s">
        <v>4392</v>
      </c>
      <c r="C2852">
        <v>8800269006407</v>
      </c>
      <c r="D2852">
        <v>225</v>
      </c>
      <c r="E2852">
        <v>0</v>
      </c>
      <c r="F2852">
        <v>0</v>
      </c>
      <c r="G2852">
        <v>0</v>
      </c>
      <c r="H2852">
        <v>225</v>
      </c>
      <c r="I2852" s="183" t="s">
        <v>4355</v>
      </c>
      <c r="J2852" s="183" t="s">
        <v>12055</v>
      </c>
      <c r="K2852">
        <v>0</v>
      </c>
      <c r="L2852">
        <v>225</v>
      </c>
    </row>
    <row r="2853" spans="1:12">
      <c r="A2853" s="183" t="s">
        <v>4393</v>
      </c>
      <c r="B2853" s="183" t="s">
        <v>4394</v>
      </c>
      <c r="C2853">
        <v>8800269006469</v>
      </c>
      <c r="D2853">
        <v>150</v>
      </c>
      <c r="E2853">
        <v>0</v>
      </c>
      <c r="F2853">
        <v>0</v>
      </c>
      <c r="G2853">
        <v>0</v>
      </c>
      <c r="H2853">
        <v>150</v>
      </c>
      <c r="I2853" s="183" t="s">
        <v>4355</v>
      </c>
      <c r="J2853" s="183" t="s">
        <v>12085</v>
      </c>
      <c r="K2853">
        <v>0</v>
      </c>
      <c r="L2853">
        <v>150</v>
      </c>
    </row>
    <row r="2854" spans="1:12">
      <c r="A2854" s="183" t="s">
        <v>4395</v>
      </c>
      <c r="B2854" s="183" t="s">
        <v>4396</v>
      </c>
      <c r="C2854">
        <v>8800269006551</v>
      </c>
      <c r="D2854">
        <v>174</v>
      </c>
      <c r="E2854">
        <v>0</v>
      </c>
      <c r="F2854">
        <v>0</v>
      </c>
      <c r="G2854">
        <v>0</v>
      </c>
      <c r="H2854">
        <v>174</v>
      </c>
      <c r="I2854" s="183" t="s">
        <v>4360</v>
      </c>
      <c r="J2854" s="183" t="s">
        <v>12048</v>
      </c>
      <c r="K2854">
        <v>0</v>
      </c>
      <c r="L2854">
        <v>174</v>
      </c>
    </row>
    <row r="2855" spans="1:12">
      <c r="A2855" s="183" t="s">
        <v>4397</v>
      </c>
      <c r="B2855" s="183" t="s">
        <v>4359</v>
      </c>
      <c r="C2855">
        <v>8800269006612</v>
      </c>
      <c r="D2855">
        <v>178</v>
      </c>
      <c r="E2855">
        <v>0</v>
      </c>
      <c r="F2855">
        <v>0</v>
      </c>
      <c r="G2855">
        <v>0</v>
      </c>
      <c r="H2855">
        <v>178</v>
      </c>
      <c r="I2855" s="183" t="s">
        <v>4360</v>
      </c>
      <c r="J2855" s="183" t="s">
        <v>12063</v>
      </c>
      <c r="K2855">
        <v>0</v>
      </c>
      <c r="L2855">
        <v>178</v>
      </c>
    </row>
    <row r="2856" spans="1:12">
      <c r="A2856" s="183" t="s">
        <v>4398</v>
      </c>
      <c r="B2856" s="183" t="s">
        <v>4362</v>
      </c>
      <c r="C2856">
        <v>8800269006650</v>
      </c>
      <c r="D2856">
        <v>163</v>
      </c>
      <c r="E2856">
        <v>0</v>
      </c>
      <c r="F2856">
        <v>0</v>
      </c>
      <c r="G2856">
        <v>0</v>
      </c>
      <c r="H2856">
        <v>163</v>
      </c>
      <c r="I2856" s="183" t="s">
        <v>4360</v>
      </c>
      <c r="J2856" s="183" t="s">
        <v>12055</v>
      </c>
      <c r="K2856">
        <v>0</v>
      </c>
      <c r="L2856">
        <v>163</v>
      </c>
    </row>
    <row r="2857" spans="1:12">
      <c r="A2857" s="183" t="s">
        <v>4399</v>
      </c>
      <c r="B2857" s="183" t="s">
        <v>4388</v>
      </c>
      <c r="C2857">
        <v>8800269006698</v>
      </c>
      <c r="D2857">
        <v>161</v>
      </c>
      <c r="E2857">
        <v>0</v>
      </c>
      <c r="F2857">
        <v>0</v>
      </c>
      <c r="G2857">
        <v>0</v>
      </c>
      <c r="H2857">
        <v>161</v>
      </c>
      <c r="I2857" s="183" t="s">
        <v>4360</v>
      </c>
      <c r="J2857" s="183" t="s">
        <v>12048</v>
      </c>
      <c r="K2857">
        <v>0</v>
      </c>
      <c r="L2857">
        <v>161</v>
      </c>
    </row>
    <row r="2858" spans="1:12">
      <c r="A2858" s="183" t="s">
        <v>4448</v>
      </c>
      <c r="B2858" s="183" t="s">
        <v>4445</v>
      </c>
      <c r="C2858">
        <v>8800269006728</v>
      </c>
      <c r="D2858">
        <v>183</v>
      </c>
      <c r="E2858">
        <v>0</v>
      </c>
      <c r="F2858">
        <v>0</v>
      </c>
      <c r="G2858">
        <v>0</v>
      </c>
      <c r="H2858">
        <v>183</v>
      </c>
      <c r="I2858" s="183" t="s">
        <v>4360</v>
      </c>
      <c r="J2858" s="183" t="s">
        <v>12095</v>
      </c>
      <c r="K2858">
        <v>0</v>
      </c>
      <c r="L2858">
        <v>183</v>
      </c>
    </row>
    <row r="2859" spans="1:12">
      <c r="A2859" s="183" t="s">
        <v>4449</v>
      </c>
      <c r="B2859" s="183" t="s">
        <v>4447</v>
      </c>
      <c r="C2859">
        <v>8800269006766</v>
      </c>
      <c r="D2859">
        <v>97</v>
      </c>
      <c r="E2859">
        <v>0</v>
      </c>
      <c r="F2859">
        <v>0</v>
      </c>
      <c r="G2859">
        <v>0</v>
      </c>
      <c r="H2859">
        <v>97</v>
      </c>
      <c r="I2859" s="183" t="s">
        <v>4360</v>
      </c>
      <c r="J2859" s="183" t="s">
        <v>12050</v>
      </c>
      <c r="K2859">
        <v>0</v>
      </c>
      <c r="L2859">
        <v>97</v>
      </c>
    </row>
    <row r="2860" spans="1:12">
      <c r="A2860" s="183" t="s">
        <v>4541</v>
      </c>
      <c r="B2860" s="183" t="s">
        <v>4542</v>
      </c>
      <c r="C2860">
        <v>8800269028058</v>
      </c>
      <c r="D2860">
        <v>435</v>
      </c>
      <c r="E2860">
        <v>0</v>
      </c>
      <c r="F2860">
        <v>0</v>
      </c>
      <c r="G2860">
        <v>0</v>
      </c>
      <c r="H2860">
        <v>435</v>
      </c>
      <c r="I2860" s="183" t="s">
        <v>4499</v>
      </c>
      <c r="J2860" s="183" t="s">
        <v>12081</v>
      </c>
      <c r="K2860">
        <v>0</v>
      </c>
      <c r="L2860">
        <v>435</v>
      </c>
    </row>
    <row r="2861" spans="1:12">
      <c r="A2861" s="183" t="s">
        <v>4543</v>
      </c>
      <c r="B2861" s="183" t="s">
        <v>4544</v>
      </c>
      <c r="C2861">
        <v>8800269028164</v>
      </c>
      <c r="D2861">
        <v>460</v>
      </c>
      <c r="E2861">
        <v>0</v>
      </c>
      <c r="F2861">
        <v>0</v>
      </c>
      <c r="G2861">
        <v>0</v>
      </c>
      <c r="H2861">
        <v>460</v>
      </c>
      <c r="I2861" s="183" t="s">
        <v>4499</v>
      </c>
      <c r="J2861" s="183" t="s">
        <v>12067</v>
      </c>
      <c r="K2861">
        <v>0</v>
      </c>
      <c r="L2861">
        <v>460</v>
      </c>
    </row>
    <row r="2862" spans="1:12">
      <c r="A2862" s="183" t="s">
        <v>4545</v>
      </c>
      <c r="B2862" s="183" t="s">
        <v>4546</v>
      </c>
      <c r="C2862">
        <v>8800269028188</v>
      </c>
      <c r="D2862">
        <v>461</v>
      </c>
      <c r="E2862">
        <v>0</v>
      </c>
      <c r="F2862">
        <v>0</v>
      </c>
      <c r="G2862">
        <v>0</v>
      </c>
      <c r="H2862">
        <v>461</v>
      </c>
      <c r="I2862" s="183" t="s">
        <v>4499</v>
      </c>
      <c r="J2862" s="183" t="s">
        <v>12093</v>
      </c>
      <c r="K2862">
        <v>0</v>
      </c>
      <c r="L2862">
        <v>461</v>
      </c>
    </row>
    <row r="2863" spans="1:12">
      <c r="A2863" s="183" t="s">
        <v>4547</v>
      </c>
      <c r="B2863" s="183" t="s">
        <v>4548</v>
      </c>
      <c r="C2863">
        <v>8800269028218</v>
      </c>
      <c r="D2863">
        <v>450</v>
      </c>
      <c r="E2863">
        <v>0</v>
      </c>
      <c r="F2863">
        <v>0</v>
      </c>
      <c r="G2863">
        <v>0</v>
      </c>
      <c r="H2863">
        <v>450</v>
      </c>
      <c r="I2863" s="183" t="s">
        <v>4499</v>
      </c>
      <c r="J2863" s="183" t="s">
        <v>12093</v>
      </c>
      <c r="K2863">
        <v>0</v>
      </c>
      <c r="L2863">
        <v>450</v>
      </c>
    </row>
    <row r="2864" spans="1:12">
      <c r="A2864" s="183" t="s">
        <v>4549</v>
      </c>
      <c r="B2864" s="183" t="s">
        <v>4550</v>
      </c>
      <c r="C2864">
        <v>8800269028263</v>
      </c>
      <c r="D2864">
        <v>296</v>
      </c>
      <c r="E2864">
        <v>0</v>
      </c>
      <c r="F2864">
        <v>0</v>
      </c>
      <c r="G2864">
        <v>0</v>
      </c>
      <c r="H2864">
        <v>296</v>
      </c>
      <c r="I2864" s="183" t="s">
        <v>4499</v>
      </c>
      <c r="J2864" s="183" t="s">
        <v>12055</v>
      </c>
      <c r="K2864">
        <v>0</v>
      </c>
      <c r="L2864">
        <v>296</v>
      </c>
    </row>
    <row r="2865" spans="1:12">
      <c r="A2865" s="183" t="s">
        <v>4551</v>
      </c>
      <c r="B2865" s="183" t="s">
        <v>4536</v>
      </c>
      <c r="C2865">
        <v>8800269028300</v>
      </c>
      <c r="D2865">
        <v>460</v>
      </c>
      <c r="E2865">
        <v>0</v>
      </c>
      <c r="F2865">
        <v>0</v>
      </c>
      <c r="G2865">
        <v>0</v>
      </c>
      <c r="H2865">
        <v>460</v>
      </c>
      <c r="I2865" s="183" t="s">
        <v>4510</v>
      </c>
      <c r="J2865" s="183" t="s">
        <v>12066</v>
      </c>
      <c r="K2865">
        <v>0</v>
      </c>
      <c r="L2865">
        <v>460</v>
      </c>
    </row>
    <row r="2866" spans="1:12">
      <c r="A2866" s="183" t="s">
        <v>4552</v>
      </c>
      <c r="B2866" s="183" t="s">
        <v>4509</v>
      </c>
      <c r="C2866">
        <v>8800269028416</v>
      </c>
      <c r="D2866">
        <v>436</v>
      </c>
      <c r="E2866">
        <v>0</v>
      </c>
      <c r="F2866">
        <v>0</v>
      </c>
      <c r="G2866">
        <v>0</v>
      </c>
      <c r="H2866">
        <v>436</v>
      </c>
      <c r="I2866" s="183" t="s">
        <v>4510</v>
      </c>
      <c r="J2866" s="183" t="s">
        <v>12059</v>
      </c>
      <c r="K2866">
        <v>0</v>
      </c>
      <c r="L2866">
        <v>436</v>
      </c>
    </row>
    <row r="2867" spans="1:12">
      <c r="A2867" s="183" t="s">
        <v>4553</v>
      </c>
      <c r="B2867" s="183" t="s">
        <v>4554</v>
      </c>
      <c r="C2867">
        <v>8800269028584</v>
      </c>
      <c r="D2867">
        <v>298</v>
      </c>
      <c r="E2867">
        <v>0</v>
      </c>
      <c r="F2867">
        <v>0</v>
      </c>
      <c r="G2867">
        <v>0</v>
      </c>
      <c r="H2867">
        <v>298</v>
      </c>
      <c r="I2867" s="183" t="s">
        <v>4510</v>
      </c>
      <c r="J2867" s="183" t="s">
        <v>12053</v>
      </c>
      <c r="K2867">
        <v>0</v>
      </c>
      <c r="L2867">
        <v>298</v>
      </c>
    </row>
    <row r="2868" spans="1:12">
      <c r="A2868" s="183" t="s">
        <v>5954</v>
      </c>
      <c r="B2868" s="183" t="s">
        <v>5893</v>
      </c>
      <c r="C2868">
        <v>8800322956540</v>
      </c>
      <c r="D2868">
        <v>139</v>
      </c>
      <c r="E2868">
        <v>0</v>
      </c>
      <c r="F2868">
        <v>0</v>
      </c>
      <c r="G2868">
        <v>0</v>
      </c>
      <c r="H2868">
        <v>139</v>
      </c>
      <c r="I2868" s="183" t="s">
        <v>5896</v>
      </c>
      <c r="J2868" s="183" t="s">
        <v>12066</v>
      </c>
      <c r="K2868">
        <v>0</v>
      </c>
      <c r="L2868">
        <v>139</v>
      </c>
    </row>
    <row r="2869" spans="1:12">
      <c r="A2869" s="183" t="s">
        <v>5919</v>
      </c>
      <c r="B2869" s="183" t="s">
        <v>5893</v>
      </c>
      <c r="C2869">
        <v>8800322956649</v>
      </c>
      <c r="D2869">
        <v>130</v>
      </c>
      <c r="E2869">
        <v>0</v>
      </c>
      <c r="F2869">
        <v>0</v>
      </c>
      <c r="G2869">
        <v>0</v>
      </c>
      <c r="H2869">
        <v>130</v>
      </c>
      <c r="I2869" s="183" t="s">
        <v>5896</v>
      </c>
      <c r="J2869" s="183" t="s">
        <v>12055</v>
      </c>
      <c r="K2869">
        <v>0</v>
      </c>
      <c r="L2869">
        <v>130</v>
      </c>
    </row>
    <row r="2870" spans="1:12">
      <c r="A2870" s="183" t="s">
        <v>5920</v>
      </c>
      <c r="B2870" s="183" t="s">
        <v>5893</v>
      </c>
      <c r="C2870">
        <v>8800322956656</v>
      </c>
      <c r="D2870">
        <v>139</v>
      </c>
      <c r="E2870">
        <v>0</v>
      </c>
      <c r="F2870">
        <v>0</v>
      </c>
      <c r="G2870">
        <v>0</v>
      </c>
      <c r="H2870">
        <v>139</v>
      </c>
      <c r="I2870" s="183" t="s">
        <v>5896</v>
      </c>
      <c r="J2870" s="183" t="s">
        <v>12063</v>
      </c>
      <c r="K2870">
        <v>0</v>
      </c>
      <c r="L2870">
        <v>139</v>
      </c>
    </row>
    <row r="2871" spans="1:12">
      <c r="A2871" s="183" t="s">
        <v>5921</v>
      </c>
      <c r="B2871" s="183" t="s">
        <v>5893</v>
      </c>
      <c r="C2871">
        <v>8800322956663</v>
      </c>
      <c r="D2871">
        <v>120</v>
      </c>
      <c r="E2871">
        <v>0</v>
      </c>
      <c r="F2871">
        <v>0</v>
      </c>
      <c r="G2871">
        <v>0</v>
      </c>
      <c r="H2871">
        <v>120</v>
      </c>
      <c r="I2871" s="183" t="s">
        <v>5896</v>
      </c>
      <c r="J2871" s="183" t="s">
        <v>12066</v>
      </c>
      <c r="K2871">
        <v>0</v>
      </c>
      <c r="L2871">
        <v>120</v>
      </c>
    </row>
    <row r="2872" spans="1:12">
      <c r="A2872" s="183" t="s">
        <v>5922</v>
      </c>
      <c r="B2872" s="183" t="s">
        <v>5894</v>
      </c>
      <c r="C2872">
        <v>8800322956816</v>
      </c>
      <c r="D2872">
        <v>133</v>
      </c>
      <c r="E2872">
        <v>0</v>
      </c>
      <c r="F2872">
        <v>0</v>
      </c>
      <c r="G2872">
        <v>0</v>
      </c>
      <c r="H2872">
        <v>133</v>
      </c>
      <c r="I2872" s="183" t="s">
        <v>5899</v>
      </c>
      <c r="J2872" s="183" t="s">
        <v>12095</v>
      </c>
      <c r="K2872">
        <v>0</v>
      </c>
      <c r="L2872">
        <v>133</v>
      </c>
    </row>
    <row r="2873" spans="1:12">
      <c r="A2873" s="183" t="s">
        <v>5923</v>
      </c>
      <c r="B2873" s="183" t="s">
        <v>5894</v>
      </c>
      <c r="C2873">
        <v>8800322956830</v>
      </c>
      <c r="D2873">
        <v>125</v>
      </c>
      <c r="E2873">
        <v>0</v>
      </c>
      <c r="F2873">
        <v>0</v>
      </c>
      <c r="G2873">
        <v>0</v>
      </c>
      <c r="H2873">
        <v>125</v>
      </c>
      <c r="I2873" s="183" t="s">
        <v>5899</v>
      </c>
      <c r="J2873" s="183" t="s">
        <v>12050</v>
      </c>
      <c r="K2873">
        <v>0</v>
      </c>
      <c r="L2873">
        <v>125</v>
      </c>
    </row>
    <row r="2874" spans="1:12">
      <c r="A2874" s="183" t="s">
        <v>5924</v>
      </c>
      <c r="B2874" s="183" t="s">
        <v>5894</v>
      </c>
      <c r="C2874">
        <v>8800322956908</v>
      </c>
      <c r="D2874">
        <v>143</v>
      </c>
      <c r="E2874">
        <v>0</v>
      </c>
      <c r="F2874">
        <v>1</v>
      </c>
      <c r="G2874">
        <v>0</v>
      </c>
      <c r="H2874">
        <v>144</v>
      </c>
      <c r="I2874" s="183" t="s">
        <v>5899</v>
      </c>
      <c r="J2874" s="183" t="s">
        <v>12057</v>
      </c>
      <c r="K2874">
        <v>0</v>
      </c>
      <c r="L2874">
        <v>143</v>
      </c>
    </row>
    <row r="2875" spans="1:12">
      <c r="A2875" s="183" t="s">
        <v>5925</v>
      </c>
      <c r="B2875" s="183" t="s">
        <v>5894</v>
      </c>
      <c r="C2875">
        <v>8800322956977</v>
      </c>
      <c r="D2875">
        <v>136</v>
      </c>
      <c r="E2875">
        <v>0</v>
      </c>
      <c r="F2875">
        <v>0</v>
      </c>
      <c r="G2875">
        <v>0</v>
      </c>
      <c r="H2875">
        <v>136</v>
      </c>
      <c r="I2875" s="183" t="s">
        <v>5899</v>
      </c>
      <c r="J2875" s="183" t="s">
        <v>12057</v>
      </c>
      <c r="K2875">
        <v>0</v>
      </c>
      <c r="L2875">
        <v>136</v>
      </c>
    </row>
    <row r="2876" spans="1:12">
      <c r="A2876" s="183" t="s">
        <v>5926</v>
      </c>
      <c r="B2876" s="183" t="s">
        <v>5894</v>
      </c>
      <c r="C2876">
        <v>8800322956991</v>
      </c>
      <c r="D2876">
        <v>106</v>
      </c>
      <c r="E2876">
        <v>0</v>
      </c>
      <c r="F2876">
        <v>0</v>
      </c>
      <c r="G2876">
        <v>0</v>
      </c>
      <c r="H2876">
        <v>106</v>
      </c>
      <c r="I2876" s="183" t="s">
        <v>5899</v>
      </c>
      <c r="J2876" s="183" t="s">
        <v>12095</v>
      </c>
      <c r="K2876">
        <v>0</v>
      </c>
      <c r="L2876">
        <v>106</v>
      </c>
    </row>
    <row r="2877" spans="1:12">
      <c r="A2877" s="183" t="s">
        <v>6018</v>
      </c>
      <c r="B2877" s="183" t="s">
        <v>5984</v>
      </c>
      <c r="C2877">
        <v>8800322957141</v>
      </c>
      <c r="D2877">
        <v>143</v>
      </c>
      <c r="E2877">
        <v>0</v>
      </c>
      <c r="F2877">
        <v>0</v>
      </c>
      <c r="G2877">
        <v>0</v>
      </c>
      <c r="H2877">
        <v>143</v>
      </c>
      <c r="I2877" s="183" t="s">
        <v>5985</v>
      </c>
      <c r="J2877" s="183" t="s">
        <v>12050</v>
      </c>
      <c r="K2877">
        <v>0</v>
      </c>
      <c r="L2877">
        <v>143</v>
      </c>
    </row>
    <row r="2878" spans="1:12">
      <c r="A2878" s="183" t="s">
        <v>6019</v>
      </c>
      <c r="B2878" s="183" t="s">
        <v>5984</v>
      </c>
      <c r="C2878">
        <v>8800322957226</v>
      </c>
      <c r="D2878">
        <v>109</v>
      </c>
      <c r="E2878">
        <v>0</v>
      </c>
      <c r="F2878">
        <v>0</v>
      </c>
      <c r="G2878">
        <v>0</v>
      </c>
      <c r="H2878">
        <v>109</v>
      </c>
      <c r="I2878" s="183" t="s">
        <v>5985</v>
      </c>
      <c r="J2878" s="183" t="s">
        <v>12050</v>
      </c>
      <c r="K2878">
        <v>0</v>
      </c>
      <c r="L2878">
        <v>109</v>
      </c>
    </row>
    <row r="2879" spans="1:12">
      <c r="A2879" s="183" t="s">
        <v>5927</v>
      </c>
      <c r="B2879" s="183" t="s">
        <v>5914</v>
      </c>
      <c r="C2879">
        <v>8800322957394</v>
      </c>
      <c r="D2879">
        <v>133</v>
      </c>
      <c r="E2879">
        <v>0</v>
      </c>
      <c r="F2879">
        <v>0</v>
      </c>
      <c r="G2879">
        <v>0</v>
      </c>
      <c r="H2879">
        <v>133</v>
      </c>
      <c r="I2879" s="183" t="s">
        <v>5915</v>
      </c>
      <c r="J2879" s="183" t="s">
        <v>12052</v>
      </c>
      <c r="K2879">
        <v>0</v>
      </c>
      <c r="L2879">
        <v>133</v>
      </c>
    </row>
    <row r="2880" spans="1:12">
      <c r="A2880" s="183" t="s">
        <v>5928</v>
      </c>
      <c r="B2880" s="183" t="s">
        <v>5914</v>
      </c>
      <c r="C2880">
        <v>8800322957400</v>
      </c>
      <c r="D2880">
        <v>158</v>
      </c>
      <c r="E2880">
        <v>0</v>
      </c>
      <c r="F2880">
        <v>0</v>
      </c>
      <c r="G2880">
        <v>0</v>
      </c>
      <c r="H2880">
        <v>158</v>
      </c>
      <c r="I2880" s="183" t="s">
        <v>5915</v>
      </c>
      <c r="J2880" s="183" t="s">
        <v>12061</v>
      </c>
      <c r="K2880">
        <v>0</v>
      </c>
      <c r="L2880">
        <v>158</v>
      </c>
    </row>
    <row r="2881" spans="1:12">
      <c r="A2881" s="183" t="s">
        <v>5977</v>
      </c>
      <c r="B2881" s="183" t="s">
        <v>5914</v>
      </c>
      <c r="C2881">
        <v>8800322957462</v>
      </c>
      <c r="D2881">
        <v>138</v>
      </c>
      <c r="E2881">
        <v>0</v>
      </c>
      <c r="F2881">
        <v>0</v>
      </c>
      <c r="G2881">
        <v>0</v>
      </c>
      <c r="H2881">
        <v>138</v>
      </c>
      <c r="I2881" s="183" t="s">
        <v>5915</v>
      </c>
      <c r="J2881" s="183" t="s">
        <v>12052</v>
      </c>
      <c r="K2881">
        <v>0</v>
      </c>
      <c r="L2881">
        <v>138</v>
      </c>
    </row>
    <row r="2882" spans="1:12">
      <c r="A2882" s="183" t="s">
        <v>5978</v>
      </c>
      <c r="B2882" s="183" t="s">
        <v>5914</v>
      </c>
      <c r="C2882">
        <v>8800322957516</v>
      </c>
      <c r="D2882">
        <v>107</v>
      </c>
      <c r="E2882">
        <v>0</v>
      </c>
      <c r="F2882">
        <v>0</v>
      </c>
      <c r="G2882">
        <v>0</v>
      </c>
      <c r="H2882">
        <v>107</v>
      </c>
      <c r="I2882" s="183" t="s">
        <v>5915</v>
      </c>
      <c r="J2882" s="183" t="s">
        <v>12061</v>
      </c>
      <c r="K2882">
        <v>0</v>
      </c>
      <c r="L2882">
        <v>107</v>
      </c>
    </row>
    <row r="2883" spans="1:12">
      <c r="A2883" s="183" t="s">
        <v>6020</v>
      </c>
      <c r="B2883" s="183" t="s">
        <v>5995</v>
      </c>
      <c r="C2883">
        <v>8800322957608</v>
      </c>
      <c r="D2883">
        <v>89</v>
      </c>
      <c r="E2883">
        <v>0</v>
      </c>
      <c r="F2883">
        <v>0</v>
      </c>
      <c r="G2883">
        <v>0</v>
      </c>
      <c r="H2883">
        <v>89</v>
      </c>
      <c r="I2883" s="183" t="s">
        <v>5999</v>
      </c>
      <c r="J2883" s="183" t="s">
        <v>12061</v>
      </c>
      <c r="K2883">
        <v>0</v>
      </c>
      <c r="L2883">
        <v>89</v>
      </c>
    </row>
    <row r="2884" spans="1:12">
      <c r="A2884" s="183" t="s">
        <v>6021</v>
      </c>
      <c r="B2884" s="183" t="s">
        <v>5995</v>
      </c>
      <c r="C2884">
        <v>8800322957660</v>
      </c>
      <c r="D2884">
        <v>100</v>
      </c>
      <c r="E2884">
        <v>0</v>
      </c>
      <c r="F2884">
        <v>0</v>
      </c>
      <c r="G2884">
        <v>0</v>
      </c>
      <c r="H2884">
        <v>100</v>
      </c>
      <c r="I2884" s="183" t="s">
        <v>5999</v>
      </c>
      <c r="J2884" s="183" t="s">
        <v>12061</v>
      </c>
      <c r="K2884">
        <v>0</v>
      </c>
      <c r="L2884">
        <v>100</v>
      </c>
    </row>
    <row r="2885" spans="1:12">
      <c r="A2885" s="183" t="s">
        <v>6022</v>
      </c>
      <c r="B2885" s="183" t="s">
        <v>5995</v>
      </c>
      <c r="C2885">
        <v>8800322957707</v>
      </c>
      <c r="D2885">
        <v>163</v>
      </c>
      <c r="E2885">
        <v>0</v>
      </c>
      <c r="F2885">
        <v>0</v>
      </c>
      <c r="G2885">
        <v>0</v>
      </c>
      <c r="H2885">
        <v>163</v>
      </c>
      <c r="I2885" s="183" t="s">
        <v>5999</v>
      </c>
      <c r="J2885" s="183" t="s">
        <v>12055</v>
      </c>
      <c r="K2885">
        <v>0</v>
      </c>
      <c r="L2885">
        <v>163</v>
      </c>
    </row>
    <row r="2886" spans="1:12">
      <c r="A2886" s="183" t="s">
        <v>9057</v>
      </c>
      <c r="B2886" s="183" t="s">
        <v>8644</v>
      </c>
      <c r="C2886">
        <v>8800358456489</v>
      </c>
      <c r="D2886">
        <v>491</v>
      </c>
      <c r="E2886">
        <v>0</v>
      </c>
      <c r="F2886">
        <v>0</v>
      </c>
      <c r="G2886">
        <v>0</v>
      </c>
      <c r="H2886">
        <v>491</v>
      </c>
      <c r="I2886" s="183" t="s">
        <v>8996</v>
      </c>
      <c r="J2886" s="183" t="s">
        <v>12048</v>
      </c>
      <c r="K2886">
        <v>0</v>
      </c>
      <c r="L2886">
        <v>491</v>
      </c>
    </row>
    <row r="2887" spans="1:12">
      <c r="A2887" s="183" t="s">
        <v>9058</v>
      </c>
      <c r="B2887" s="183" t="s">
        <v>8644</v>
      </c>
      <c r="C2887">
        <v>8800358456519</v>
      </c>
      <c r="D2887">
        <v>357</v>
      </c>
      <c r="E2887">
        <v>0</v>
      </c>
      <c r="F2887">
        <v>0</v>
      </c>
      <c r="G2887">
        <v>0</v>
      </c>
      <c r="H2887">
        <v>357</v>
      </c>
      <c r="I2887" s="183" t="s">
        <v>8996</v>
      </c>
      <c r="J2887" s="183" t="s">
        <v>12050</v>
      </c>
      <c r="K2887">
        <v>0</v>
      </c>
      <c r="L2887">
        <v>357</v>
      </c>
    </row>
    <row r="2888" spans="1:12">
      <c r="A2888" s="183" t="s">
        <v>9059</v>
      </c>
      <c r="B2888" s="183" t="s">
        <v>8644</v>
      </c>
      <c r="C2888">
        <v>8800358456618</v>
      </c>
      <c r="D2888">
        <v>340</v>
      </c>
      <c r="E2888">
        <v>0</v>
      </c>
      <c r="F2888">
        <v>0</v>
      </c>
      <c r="G2888">
        <v>0</v>
      </c>
      <c r="H2888">
        <v>340</v>
      </c>
      <c r="I2888" s="183" t="s">
        <v>8996</v>
      </c>
      <c r="J2888" s="183" t="s">
        <v>12061</v>
      </c>
      <c r="K2888">
        <v>0</v>
      </c>
      <c r="L2888">
        <v>340</v>
      </c>
    </row>
    <row r="2889" spans="1:12">
      <c r="A2889" s="183" t="s">
        <v>746</v>
      </c>
      <c r="B2889" s="183" t="s">
        <v>1001</v>
      </c>
      <c r="C2889">
        <v>33050203</v>
      </c>
      <c r="D2889">
        <v>33</v>
      </c>
      <c r="E2889">
        <v>0</v>
      </c>
      <c r="F2889">
        <v>3</v>
      </c>
      <c r="G2889">
        <v>0</v>
      </c>
      <c r="H2889">
        <v>36</v>
      </c>
      <c r="I2889" s="183" t="s">
        <v>1002</v>
      </c>
      <c r="J2889" s="183" t="s">
        <v>12060</v>
      </c>
      <c r="K2889">
        <v>0</v>
      </c>
      <c r="L2889">
        <v>33</v>
      </c>
    </row>
    <row r="2890" spans="1:12">
      <c r="A2890" s="183" t="s">
        <v>576</v>
      </c>
      <c r="B2890" s="183" t="s">
        <v>1001</v>
      </c>
      <c r="C2890">
        <v>33050205</v>
      </c>
      <c r="D2890">
        <v>57</v>
      </c>
      <c r="E2890">
        <v>0</v>
      </c>
      <c r="F2890">
        <v>60</v>
      </c>
      <c r="G2890">
        <v>0</v>
      </c>
      <c r="H2890">
        <v>117</v>
      </c>
      <c r="I2890" s="183" t="s">
        <v>1002</v>
      </c>
      <c r="J2890" s="183" t="s">
        <v>12081</v>
      </c>
      <c r="K2890">
        <v>0</v>
      </c>
      <c r="L2890">
        <v>57</v>
      </c>
    </row>
    <row r="2891" spans="1:12">
      <c r="A2891" s="183" t="s">
        <v>3546</v>
      </c>
      <c r="B2891" s="183" t="s">
        <v>1001</v>
      </c>
      <c r="C2891">
        <v>33050218</v>
      </c>
      <c r="D2891">
        <v>146</v>
      </c>
      <c r="E2891">
        <v>0</v>
      </c>
      <c r="F2891">
        <v>1</v>
      </c>
      <c r="G2891">
        <v>0</v>
      </c>
      <c r="H2891">
        <v>147</v>
      </c>
      <c r="I2891" s="183" t="s">
        <v>1002</v>
      </c>
      <c r="J2891" s="183" t="s">
        <v>12056</v>
      </c>
      <c r="K2891">
        <v>0</v>
      </c>
      <c r="L2891">
        <v>146</v>
      </c>
    </row>
    <row r="2892" spans="1:12">
      <c r="A2892" s="183" t="s">
        <v>584</v>
      </c>
      <c r="B2892" s="183" t="s">
        <v>1001</v>
      </c>
      <c r="C2892">
        <v>33050219</v>
      </c>
      <c r="D2892">
        <v>83</v>
      </c>
      <c r="E2892">
        <v>0</v>
      </c>
      <c r="F2892">
        <v>35</v>
      </c>
      <c r="G2892">
        <v>0</v>
      </c>
      <c r="H2892">
        <v>118</v>
      </c>
      <c r="I2892" s="183" t="s">
        <v>1002</v>
      </c>
      <c r="J2892" s="183" t="s">
        <v>12058</v>
      </c>
      <c r="K2892">
        <v>0</v>
      </c>
      <c r="L2892">
        <v>83</v>
      </c>
    </row>
    <row r="2893" spans="1:12">
      <c r="A2893" s="183" t="s">
        <v>601</v>
      </c>
      <c r="B2893" s="183" t="s">
        <v>979</v>
      </c>
      <c r="C2893">
        <v>35010221</v>
      </c>
      <c r="D2893">
        <v>41</v>
      </c>
      <c r="E2893">
        <v>0</v>
      </c>
      <c r="F2893">
        <v>21</v>
      </c>
      <c r="G2893">
        <v>0</v>
      </c>
      <c r="H2893">
        <v>62</v>
      </c>
      <c r="I2893" s="183" t="s">
        <v>980</v>
      </c>
      <c r="J2893" s="183" t="s">
        <v>12054</v>
      </c>
      <c r="K2893">
        <v>0</v>
      </c>
      <c r="L2893">
        <v>41</v>
      </c>
    </row>
    <row r="2894" spans="1:12">
      <c r="A2894" s="183" t="s">
        <v>611</v>
      </c>
      <c r="B2894" s="183" t="s">
        <v>1008</v>
      </c>
      <c r="C2894">
        <v>35020202</v>
      </c>
      <c r="D2894">
        <v>36</v>
      </c>
      <c r="E2894">
        <v>0</v>
      </c>
      <c r="F2894">
        <v>38</v>
      </c>
      <c r="G2894">
        <v>0</v>
      </c>
      <c r="H2894">
        <v>74</v>
      </c>
      <c r="I2894" s="183" t="s">
        <v>1009</v>
      </c>
      <c r="J2894" s="183" t="s">
        <v>12056</v>
      </c>
      <c r="K2894">
        <v>0</v>
      </c>
      <c r="L2894">
        <v>36</v>
      </c>
    </row>
    <row r="2895" spans="1:12">
      <c r="A2895" s="183" t="s">
        <v>3531</v>
      </c>
      <c r="B2895" s="183" t="s">
        <v>1008</v>
      </c>
      <c r="C2895">
        <v>35020211</v>
      </c>
      <c r="D2895">
        <v>51</v>
      </c>
      <c r="E2895">
        <v>0</v>
      </c>
      <c r="F2895">
        <v>13</v>
      </c>
      <c r="G2895">
        <v>0</v>
      </c>
      <c r="H2895">
        <v>64</v>
      </c>
      <c r="I2895" s="183" t="s">
        <v>1009</v>
      </c>
      <c r="J2895" s="183" t="s">
        <v>12093</v>
      </c>
      <c r="K2895">
        <v>0</v>
      </c>
      <c r="L2895">
        <v>51</v>
      </c>
    </row>
    <row r="2896" spans="1:12">
      <c r="A2896" s="183" t="s">
        <v>3530</v>
      </c>
      <c r="B2896" s="183" t="s">
        <v>1008</v>
      </c>
      <c r="C2896">
        <v>35020213</v>
      </c>
      <c r="D2896">
        <v>109</v>
      </c>
      <c r="E2896">
        <v>0</v>
      </c>
      <c r="F2896">
        <v>14</v>
      </c>
      <c r="G2896">
        <v>0</v>
      </c>
      <c r="H2896">
        <v>123</v>
      </c>
      <c r="I2896" s="183" t="s">
        <v>1009</v>
      </c>
      <c r="J2896" s="183" t="s">
        <v>12048</v>
      </c>
      <c r="K2896">
        <v>0</v>
      </c>
      <c r="L2896">
        <v>109</v>
      </c>
    </row>
    <row r="2897" spans="1:12">
      <c r="A2897" s="183" t="s">
        <v>9075</v>
      </c>
      <c r="B2897" s="183" t="s">
        <v>8646</v>
      </c>
      <c r="C2897">
        <v>8800358456663</v>
      </c>
      <c r="D2897">
        <v>420</v>
      </c>
      <c r="E2897">
        <v>0</v>
      </c>
      <c r="F2897">
        <v>0</v>
      </c>
      <c r="G2897">
        <v>0</v>
      </c>
      <c r="H2897">
        <v>420</v>
      </c>
      <c r="I2897" s="183" t="s">
        <v>9000</v>
      </c>
      <c r="J2897" s="183" t="s">
        <v>12095</v>
      </c>
      <c r="K2897">
        <v>0</v>
      </c>
      <c r="L2897">
        <v>420</v>
      </c>
    </row>
    <row r="2898" spans="1:12">
      <c r="A2898" s="183" t="s">
        <v>9076</v>
      </c>
      <c r="B2898" s="183" t="s">
        <v>8646</v>
      </c>
      <c r="C2898">
        <v>8800358456687</v>
      </c>
      <c r="D2898">
        <v>300</v>
      </c>
      <c r="E2898">
        <v>0</v>
      </c>
      <c r="F2898">
        <v>0</v>
      </c>
      <c r="G2898">
        <v>0</v>
      </c>
      <c r="H2898">
        <v>300</v>
      </c>
      <c r="I2898" s="183" t="s">
        <v>9000</v>
      </c>
      <c r="J2898" s="183" t="s">
        <v>12063</v>
      </c>
      <c r="K2898">
        <v>0</v>
      </c>
      <c r="L2898">
        <v>300</v>
      </c>
    </row>
    <row r="2899" spans="1:12">
      <c r="A2899" s="183" t="s">
        <v>9077</v>
      </c>
      <c r="B2899" s="183" t="s">
        <v>8646</v>
      </c>
      <c r="C2899">
        <v>8800358456700</v>
      </c>
      <c r="D2899">
        <v>360</v>
      </c>
      <c r="E2899">
        <v>0</v>
      </c>
      <c r="F2899">
        <v>0</v>
      </c>
      <c r="G2899">
        <v>0</v>
      </c>
      <c r="H2899">
        <v>360</v>
      </c>
      <c r="I2899" s="183" t="s">
        <v>9000</v>
      </c>
      <c r="J2899" s="183" t="s">
        <v>12055</v>
      </c>
      <c r="K2899">
        <v>0</v>
      </c>
      <c r="L2899">
        <v>360</v>
      </c>
    </row>
    <row r="2900" spans="1:12">
      <c r="A2900" s="183" t="s">
        <v>9078</v>
      </c>
      <c r="B2900" s="183" t="s">
        <v>8646</v>
      </c>
      <c r="C2900">
        <v>8800358456731</v>
      </c>
      <c r="D2900">
        <v>360</v>
      </c>
      <c r="E2900">
        <v>0</v>
      </c>
      <c r="F2900">
        <v>0</v>
      </c>
      <c r="G2900">
        <v>0</v>
      </c>
      <c r="H2900">
        <v>360</v>
      </c>
      <c r="I2900" s="183" t="s">
        <v>9000</v>
      </c>
      <c r="J2900" s="183" t="s">
        <v>12063</v>
      </c>
      <c r="K2900">
        <v>0</v>
      </c>
      <c r="L2900">
        <v>360</v>
      </c>
    </row>
    <row r="2901" spans="1:12">
      <c r="A2901" s="183" t="s">
        <v>9079</v>
      </c>
      <c r="B2901" s="183" t="s">
        <v>8646</v>
      </c>
      <c r="C2901">
        <v>8800358456809</v>
      </c>
      <c r="D2901">
        <v>300</v>
      </c>
      <c r="E2901">
        <v>0</v>
      </c>
      <c r="F2901">
        <v>0</v>
      </c>
      <c r="G2901">
        <v>0</v>
      </c>
      <c r="H2901">
        <v>300</v>
      </c>
      <c r="I2901" s="183" t="s">
        <v>9000</v>
      </c>
      <c r="J2901" s="183" t="s">
        <v>12048</v>
      </c>
      <c r="K2901">
        <v>0</v>
      </c>
      <c r="L2901">
        <v>300</v>
      </c>
    </row>
    <row r="2902" spans="1:12">
      <c r="A2902" s="183" t="s">
        <v>9080</v>
      </c>
      <c r="B2902" s="183" t="s">
        <v>8646</v>
      </c>
      <c r="C2902">
        <v>8800358456823</v>
      </c>
      <c r="D2902">
        <v>320</v>
      </c>
      <c r="E2902">
        <v>0</v>
      </c>
      <c r="F2902">
        <v>0</v>
      </c>
      <c r="G2902">
        <v>0</v>
      </c>
      <c r="H2902">
        <v>320</v>
      </c>
      <c r="I2902" s="183" t="s">
        <v>9000</v>
      </c>
      <c r="J2902" s="183" t="s">
        <v>12087</v>
      </c>
      <c r="K2902">
        <v>0</v>
      </c>
      <c r="L2902">
        <v>320</v>
      </c>
    </row>
    <row r="2903" spans="1:12">
      <c r="A2903" s="183" t="s">
        <v>9081</v>
      </c>
      <c r="B2903" s="183" t="s">
        <v>8645</v>
      </c>
      <c r="C2903">
        <v>8800358456908</v>
      </c>
      <c r="D2903">
        <v>478</v>
      </c>
      <c r="E2903">
        <v>0</v>
      </c>
      <c r="F2903">
        <v>0</v>
      </c>
      <c r="G2903">
        <v>0</v>
      </c>
      <c r="H2903">
        <v>478</v>
      </c>
      <c r="I2903" s="183" t="s">
        <v>9002</v>
      </c>
      <c r="J2903" s="183" t="s">
        <v>12050</v>
      </c>
      <c r="K2903">
        <v>0</v>
      </c>
      <c r="L2903">
        <v>478</v>
      </c>
    </row>
    <row r="2904" spans="1:12">
      <c r="A2904" s="183" t="s">
        <v>12031</v>
      </c>
      <c r="B2904" s="183" t="s">
        <v>8645</v>
      </c>
      <c r="C2904">
        <v>8800358456984</v>
      </c>
      <c r="D2904">
        <v>138</v>
      </c>
      <c r="E2904">
        <v>0</v>
      </c>
      <c r="F2904">
        <v>0</v>
      </c>
      <c r="G2904">
        <v>0</v>
      </c>
      <c r="H2904">
        <v>138</v>
      </c>
      <c r="I2904" s="183" t="s">
        <v>9002</v>
      </c>
      <c r="J2904" s="183" t="s">
        <v>12095</v>
      </c>
      <c r="K2904">
        <v>0</v>
      </c>
      <c r="L2904">
        <v>138</v>
      </c>
    </row>
    <row r="2905" spans="1:12">
      <c r="A2905" s="183" t="s">
        <v>9082</v>
      </c>
      <c r="B2905" s="183" t="s">
        <v>8645</v>
      </c>
      <c r="C2905">
        <v>8800358457110</v>
      </c>
      <c r="D2905">
        <v>320</v>
      </c>
      <c r="E2905">
        <v>0</v>
      </c>
      <c r="F2905">
        <v>0</v>
      </c>
      <c r="G2905">
        <v>0</v>
      </c>
      <c r="H2905">
        <v>320</v>
      </c>
      <c r="I2905" s="183" t="s">
        <v>9002</v>
      </c>
      <c r="J2905" s="183" t="s">
        <v>12055</v>
      </c>
      <c r="K2905">
        <v>0</v>
      </c>
      <c r="L2905">
        <v>320</v>
      </c>
    </row>
    <row r="2906" spans="1:12">
      <c r="A2906" s="183" t="s">
        <v>8839</v>
      </c>
      <c r="B2906" s="183" t="s">
        <v>8648</v>
      </c>
      <c r="C2906">
        <v>8800358457189</v>
      </c>
      <c r="D2906">
        <v>320</v>
      </c>
      <c r="E2906">
        <v>0</v>
      </c>
      <c r="F2906">
        <v>0</v>
      </c>
      <c r="G2906">
        <v>0</v>
      </c>
      <c r="H2906">
        <v>320</v>
      </c>
      <c r="I2906" s="183" t="s">
        <v>8824</v>
      </c>
      <c r="J2906" s="183" t="s">
        <v>12055</v>
      </c>
      <c r="K2906">
        <v>0</v>
      </c>
      <c r="L2906">
        <v>320</v>
      </c>
    </row>
    <row r="2907" spans="1:12">
      <c r="A2907" s="183" t="s">
        <v>8840</v>
      </c>
      <c r="B2907" s="183" t="s">
        <v>8648</v>
      </c>
      <c r="C2907">
        <v>8800358457240</v>
      </c>
      <c r="D2907">
        <v>269</v>
      </c>
      <c r="E2907">
        <v>0</v>
      </c>
      <c r="F2907">
        <v>0</v>
      </c>
      <c r="G2907">
        <v>0</v>
      </c>
      <c r="H2907">
        <v>269</v>
      </c>
      <c r="I2907" s="183" t="s">
        <v>8824</v>
      </c>
      <c r="J2907" s="183" t="s">
        <v>12050</v>
      </c>
      <c r="K2907">
        <v>0</v>
      </c>
      <c r="L2907">
        <v>269</v>
      </c>
    </row>
    <row r="2908" spans="1:12">
      <c r="A2908" s="183" t="s">
        <v>8672</v>
      </c>
      <c r="B2908" s="183" t="s">
        <v>8648</v>
      </c>
      <c r="C2908">
        <v>8800358457417</v>
      </c>
      <c r="D2908">
        <v>299</v>
      </c>
      <c r="E2908">
        <v>0</v>
      </c>
      <c r="F2908">
        <v>0</v>
      </c>
      <c r="G2908">
        <v>0</v>
      </c>
      <c r="H2908">
        <v>299</v>
      </c>
      <c r="I2908" s="183" t="s">
        <v>8649</v>
      </c>
      <c r="J2908" s="183" t="s">
        <v>12063</v>
      </c>
      <c r="K2908">
        <v>0</v>
      </c>
      <c r="L2908">
        <v>299</v>
      </c>
    </row>
    <row r="2909" spans="1:12">
      <c r="A2909" s="183" t="s">
        <v>8675</v>
      </c>
      <c r="B2909" s="183" t="s">
        <v>8648</v>
      </c>
      <c r="C2909">
        <v>8800358457431</v>
      </c>
      <c r="D2909">
        <v>267</v>
      </c>
      <c r="E2909">
        <v>0</v>
      </c>
      <c r="F2909">
        <v>0</v>
      </c>
      <c r="G2909">
        <v>0</v>
      </c>
      <c r="H2909">
        <v>267</v>
      </c>
      <c r="I2909" s="183" t="s">
        <v>8649</v>
      </c>
      <c r="J2909" s="183" t="s">
        <v>12063</v>
      </c>
      <c r="K2909">
        <v>0</v>
      </c>
      <c r="L2909">
        <v>267</v>
      </c>
    </row>
    <row r="2910" spans="1:12">
      <c r="A2910" s="183" t="s">
        <v>9083</v>
      </c>
      <c r="B2910" s="183" t="s">
        <v>9004</v>
      </c>
      <c r="C2910">
        <v>8800358459022</v>
      </c>
      <c r="D2910">
        <v>130</v>
      </c>
      <c r="E2910">
        <v>0</v>
      </c>
      <c r="F2910">
        <v>0</v>
      </c>
      <c r="G2910">
        <v>0</v>
      </c>
      <c r="H2910">
        <v>130</v>
      </c>
      <c r="I2910" s="183" t="s">
        <v>9005</v>
      </c>
      <c r="J2910" s="183" t="s">
        <v>12095</v>
      </c>
      <c r="K2910">
        <v>0</v>
      </c>
      <c r="L2910">
        <v>130</v>
      </c>
    </row>
    <row r="2911" spans="1:12">
      <c r="A2911" s="183" t="s">
        <v>9084</v>
      </c>
      <c r="B2911" s="183" t="s">
        <v>9008</v>
      </c>
      <c r="C2911">
        <v>8800358459244</v>
      </c>
      <c r="D2911">
        <v>130</v>
      </c>
      <c r="E2911">
        <v>0</v>
      </c>
      <c r="F2911">
        <v>0</v>
      </c>
      <c r="G2911">
        <v>0</v>
      </c>
      <c r="H2911">
        <v>130</v>
      </c>
      <c r="I2911" s="183" t="s">
        <v>9009</v>
      </c>
      <c r="J2911" s="183" t="s">
        <v>12087</v>
      </c>
      <c r="K2911">
        <v>0</v>
      </c>
      <c r="L2911">
        <v>130</v>
      </c>
    </row>
    <row r="2912" spans="1:12">
      <c r="A2912" s="183" t="s">
        <v>9085</v>
      </c>
      <c r="B2912" s="183" t="s">
        <v>9008</v>
      </c>
      <c r="C2912">
        <v>8800358459251</v>
      </c>
      <c r="D2912">
        <v>130</v>
      </c>
      <c r="E2912">
        <v>0</v>
      </c>
      <c r="F2912">
        <v>0</v>
      </c>
      <c r="G2912">
        <v>0</v>
      </c>
      <c r="H2912">
        <v>130</v>
      </c>
      <c r="I2912" s="183" t="s">
        <v>9009</v>
      </c>
      <c r="J2912" s="183" t="s">
        <v>12087</v>
      </c>
      <c r="K2912">
        <v>0</v>
      </c>
      <c r="L2912">
        <v>130</v>
      </c>
    </row>
    <row r="2913" spans="1:12">
      <c r="A2913" s="183" t="s">
        <v>9086</v>
      </c>
      <c r="B2913" s="183" t="s">
        <v>9008</v>
      </c>
      <c r="C2913">
        <v>8800358459299</v>
      </c>
      <c r="D2913">
        <v>130</v>
      </c>
      <c r="E2913">
        <v>0</v>
      </c>
      <c r="F2913">
        <v>0</v>
      </c>
      <c r="G2913">
        <v>0</v>
      </c>
      <c r="H2913">
        <v>130</v>
      </c>
      <c r="I2913" s="183" t="s">
        <v>9009</v>
      </c>
      <c r="J2913" s="183" t="s">
        <v>12055</v>
      </c>
      <c r="K2913">
        <v>0</v>
      </c>
      <c r="L2913">
        <v>130</v>
      </c>
    </row>
    <row r="2914" spans="1:12">
      <c r="A2914" s="183" t="s">
        <v>9087</v>
      </c>
      <c r="B2914" s="183" t="s">
        <v>9008</v>
      </c>
      <c r="C2914">
        <v>8800358459343</v>
      </c>
      <c r="D2914">
        <v>130</v>
      </c>
      <c r="E2914">
        <v>0</v>
      </c>
      <c r="F2914">
        <v>0</v>
      </c>
      <c r="G2914">
        <v>0</v>
      </c>
      <c r="H2914">
        <v>130</v>
      </c>
      <c r="I2914" s="183" t="s">
        <v>9009</v>
      </c>
      <c r="J2914" s="183" t="s">
        <v>12061</v>
      </c>
      <c r="K2914">
        <v>0</v>
      </c>
      <c r="L2914">
        <v>130</v>
      </c>
    </row>
    <row r="2915" spans="1:12">
      <c r="A2915" s="183" t="s">
        <v>9088</v>
      </c>
      <c r="B2915" s="183" t="s">
        <v>9008</v>
      </c>
      <c r="C2915">
        <v>8800358459466</v>
      </c>
      <c r="D2915">
        <v>130</v>
      </c>
      <c r="E2915">
        <v>0</v>
      </c>
      <c r="F2915">
        <v>0</v>
      </c>
      <c r="G2915">
        <v>0</v>
      </c>
      <c r="H2915">
        <v>130</v>
      </c>
      <c r="I2915" s="183" t="s">
        <v>9009</v>
      </c>
      <c r="J2915" s="183" t="s">
        <v>12061</v>
      </c>
      <c r="K2915">
        <v>0</v>
      </c>
      <c r="L2915">
        <v>130</v>
      </c>
    </row>
    <row r="2916" spans="1:12">
      <c r="A2916" s="183" t="s">
        <v>9089</v>
      </c>
      <c r="B2916" s="183" t="s">
        <v>9013</v>
      </c>
      <c r="C2916">
        <v>8800358459626</v>
      </c>
      <c r="D2916">
        <v>130</v>
      </c>
      <c r="E2916">
        <v>0</v>
      </c>
      <c r="F2916">
        <v>0</v>
      </c>
      <c r="G2916">
        <v>0</v>
      </c>
      <c r="H2916">
        <v>130</v>
      </c>
      <c r="I2916" s="183" t="s">
        <v>9014</v>
      </c>
      <c r="J2916" s="183" t="s">
        <v>12066</v>
      </c>
      <c r="K2916">
        <v>0</v>
      </c>
      <c r="L2916">
        <v>130</v>
      </c>
    </row>
    <row r="2917" spans="1:12">
      <c r="A2917" s="183" t="s">
        <v>9090</v>
      </c>
      <c r="B2917" s="183" t="s">
        <v>9013</v>
      </c>
      <c r="C2917">
        <v>8800358459657</v>
      </c>
      <c r="D2917">
        <v>130</v>
      </c>
      <c r="E2917">
        <v>0</v>
      </c>
      <c r="F2917">
        <v>0</v>
      </c>
      <c r="G2917">
        <v>0</v>
      </c>
      <c r="H2917">
        <v>130</v>
      </c>
      <c r="I2917" s="183" t="s">
        <v>9014</v>
      </c>
      <c r="J2917" s="183" t="s">
        <v>12048</v>
      </c>
      <c r="K2917">
        <v>0</v>
      </c>
      <c r="L2917">
        <v>130</v>
      </c>
    </row>
    <row r="2918" spans="1:12">
      <c r="A2918" s="183" t="s">
        <v>8789</v>
      </c>
      <c r="B2918" s="183" t="s">
        <v>8776</v>
      </c>
      <c r="C2918">
        <v>8800358459725</v>
      </c>
      <c r="D2918">
        <v>130</v>
      </c>
      <c r="E2918">
        <v>0</v>
      </c>
      <c r="F2918">
        <v>0</v>
      </c>
      <c r="G2918">
        <v>0</v>
      </c>
      <c r="H2918">
        <v>130</v>
      </c>
      <c r="I2918" s="183" t="s">
        <v>8777</v>
      </c>
      <c r="J2918" s="183" t="s">
        <v>12097</v>
      </c>
      <c r="K2918">
        <v>0</v>
      </c>
      <c r="L2918">
        <v>130</v>
      </c>
    </row>
    <row r="2919" spans="1:12">
      <c r="A2919" s="183" t="s">
        <v>8790</v>
      </c>
      <c r="B2919" s="183" t="s">
        <v>8776</v>
      </c>
      <c r="C2919">
        <v>8800358459787</v>
      </c>
      <c r="D2919">
        <v>130</v>
      </c>
      <c r="E2919">
        <v>0</v>
      </c>
      <c r="F2919">
        <v>0</v>
      </c>
      <c r="G2919">
        <v>0</v>
      </c>
      <c r="H2919">
        <v>130</v>
      </c>
      <c r="I2919" s="183" t="s">
        <v>8777</v>
      </c>
      <c r="J2919" s="183" t="s">
        <v>12050</v>
      </c>
      <c r="K2919">
        <v>0</v>
      </c>
      <c r="L2919">
        <v>130</v>
      </c>
    </row>
    <row r="2920" spans="1:12">
      <c r="A2920" s="183" t="s">
        <v>8935</v>
      </c>
      <c r="B2920" s="183" t="s">
        <v>8927</v>
      </c>
      <c r="C2920">
        <v>8800358460011</v>
      </c>
      <c r="D2920">
        <v>135</v>
      </c>
      <c r="E2920">
        <v>0</v>
      </c>
      <c r="F2920">
        <v>0</v>
      </c>
      <c r="G2920">
        <v>0</v>
      </c>
      <c r="H2920">
        <v>135</v>
      </c>
      <c r="I2920" s="183" t="s">
        <v>8928</v>
      </c>
      <c r="J2920" s="183" t="s">
        <v>12066</v>
      </c>
      <c r="K2920">
        <v>0</v>
      </c>
      <c r="L2920">
        <v>135</v>
      </c>
    </row>
    <row r="2921" spans="1:12">
      <c r="A2921" s="183" t="s">
        <v>8936</v>
      </c>
      <c r="B2921" s="183" t="s">
        <v>8927</v>
      </c>
      <c r="C2921">
        <v>8800358460059</v>
      </c>
      <c r="D2921">
        <v>135</v>
      </c>
      <c r="E2921">
        <v>0</v>
      </c>
      <c r="F2921">
        <v>0</v>
      </c>
      <c r="G2921">
        <v>0</v>
      </c>
      <c r="H2921">
        <v>135</v>
      </c>
      <c r="I2921" s="183" t="s">
        <v>8928</v>
      </c>
      <c r="J2921" s="183" t="s">
        <v>12063</v>
      </c>
      <c r="K2921">
        <v>0</v>
      </c>
      <c r="L2921">
        <v>135</v>
      </c>
    </row>
    <row r="2922" spans="1:12">
      <c r="A2922" s="183" t="s">
        <v>8937</v>
      </c>
      <c r="B2922" s="183" t="s">
        <v>8927</v>
      </c>
      <c r="C2922">
        <v>8800358460097</v>
      </c>
      <c r="D2922">
        <v>135</v>
      </c>
      <c r="E2922">
        <v>0</v>
      </c>
      <c r="F2922">
        <v>0</v>
      </c>
      <c r="G2922">
        <v>0</v>
      </c>
      <c r="H2922">
        <v>135</v>
      </c>
      <c r="I2922" s="183" t="s">
        <v>8928</v>
      </c>
      <c r="J2922" s="183" t="s">
        <v>12050</v>
      </c>
      <c r="K2922">
        <v>0</v>
      </c>
      <c r="L2922">
        <v>135</v>
      </c>
    </row>
    <row r="2923" spans="1:12">
      <c r="A2923" s="183" t="s">
        <v>8938</v>
      </c>
      <c r="B2923" s="183" t="s">
        <v>8927</v>
      </c>
      <c r="C2923">
        <v>8800358460103</v>
      </c>
      <c r="D2923">
        <v>45</v>
      </c>
      <c r="E2923">
        <v>0</v>
      </c>
      <c r="F2923">
        <v>0</v>
      </c>
      <c r="G2923">
        <v>0</v>
      </c>
      <c r="H2923">
        <v>45</v>
      </c>
      <c r="I2923" s="183" t="s">
        <v>8928</v>
      </c>
      <c r="J2923" s="183" t="s">
        <v>12095</v>
      </c>
      <c r="K2923">
        <v>0</v>
      </c>
      <c r="L2923">
        <v>45</v>
      </c>
    </row>
    <row r="2924" spans="1:12">
      <c r="A2924" s="183" t="s">
        <v>8939</v>
      </c>
      <c r="B2924" s="183" t="s">
        <v>8927</v>
      </c>
      <c r="C2924">
        <v>8800358460127</v>
      </c>
      <c r="D2924">
        <v>45</v>
      </c>
      <c r="E2924">
        <v>0</v>
      </c>
      <c r="F2924">
        <v>0</v>
      </c>
      <c r="G2924">
        <v>0</v>
      </c>
      <c r="H2924">
        <v>45</v>
      </c>
      <c r="I2924" s="183" t="s">
        <v>8928</v>
      </c>
      <c r="J2924" s="183" t="s">
        <v>12061</v>
      </c>
      <c r="K2924">
        <v>0</v>
      </c>
      <c r="L2924">
        <v>45</v>
      </c>
    </row>
    <row r="2925" spans="1:12">
      <c r="A2925" s="183" t="s">
        <v>8940</v>
      </c>
      <c r="B2925" s="183" t="s">
        <v>8927</v>
      </c>
      <c r="C2925">
        <v>8800358460202</v>
      </c>
      <c r="D2925">
        <v>15</v>
      </c>
      <c r="E2925">
        <v>0</v>
      </c>
      <c r="F2925">
        <v>0</v>
      </c>
      <c r="G2925">
        <v>0</v>
      </c>
      <c r="H2925">
        <v>15</v>
      </c>
      <c r="I2925" s="183" t="s">
        <v>8928</v>
      </c>
      <c r="J2925" s="183" t="s">
        <v>12095</v>
      </c>
      <c r="K2925">
        <v>0</v>
      </c>
      <c r="L2925">
        <v>15</v>
      </c>
    </row>
    <row r="2926" spans="1:12">
      <c r="A2926" s="183" t="s">
        <v>8718</v>
      </c>
      <c r="B2926" s="183" t="s">
        <v>8688</v>
      </c>
      <c r="C2926">
        <v>8800358460288</v>
      </c>
      <c r="D2926">
        <v>135</v>
      </c>
      <c r="E2926">
        <v>0</v>
      </c>
      <c r="F2926">
        <v>0</v>
      </c>
      <c r="G2926">
        <v>0</v>
      </c>
      <c r="H2926">
        <v>135</v>
      </c>
      <c r="I2926" s="183" t="s">
        <v>8689</v>
      </c>
      <c r="J2926" s="183" t="s">
        <v>12048</v>
      </c>
      <c r="K2926">
        <v>0</v>
      </c>
      <c r="L2926">
        <v>135</v>
      </c>
    </row>
    <row r="2927" spans="1:12">
      <c r="A2927" s="183" t="s">
        <v>8719</v>
      </c>
      <c r="B2927" s="183" t="s">
        <v>8688</v>
      </c>
      <c r="C2927">
        <v>8800358460349</v>
      </c>
      <c r="D2927">
        <v>135</v>
      </c>
      <c r="E2927">
        <v>0</v>
      </c>
      <c r="F2927">
        <v>0</v>
      </c>
      <c r="G2927">
        <v>0</v>
      </c>
      <c r="H2927">
        <v>135</v>
      </c>
      <c r="I2927" s="183" t="s">
        <v>8689</v>
      </c>
      <c r="J2927" s="183" t="s">
        <v>12055</v>
      </c>
      <c r="K2927">
        <v>0</v>
      </c>
      <c r="L2927">
        <v>135</v>
      </c>
    </row>
    <row r="2928" spans="1:12">
      <c r="A2928" s="183" t="s">
        <v>8720</v>
      </c>
      <c r="B2928" s="183" t="s">
        <v>8688</v>
      </c>
      <c r="C2928">
        <v>8800358460400</v>
      </c>
      <c r="D2928">
        <v>45</v>
      </c>
      <c r="E2928">
        <v>0</v>
      </c>
      <c r="F2928">
        <v>0</v>
      </c>
      <c r="G2928">
        <v>0</v>
      </c>
      <c r="H2928">
        <v>45</v>
      </c>
      <c r="I2928" s="183" t="s">
        <v>8689</v>
      </c>
      <c r="J2928" s="183" t="s">
        <v>12050</v>
      </c>
      <c r="K2928">
        <v>0</v>
      </c>
      <c r="L2928">
        <v>45</v>
      </c>
    </row>
    <row r="2929" spans="1:12">
      <c r="A2929" s="183" t="s">
        <v>8721</v>
      </c>
      <c r="B2929" s="183" t="s">
        <v>8688</v>
      </c>
      <c r="C2929">
        <v>8800358460417</v>
      </c>
      <c r="D2929">
        <v>45</v>
      </c>
      <c r="E2929">
        <v>0</v>
      </c>
      <c r="F2929">
        <v>0</v>
      </c>
      <c r="G2929">
        <v>0</v>
      </c>
      <c r="H2929">
        <v>45</v>
      </c>
      <c r="I2929" s="183" t="s">
        <v>8689</v>
      </c>
      <c r="J2929" s="183" t="s">
        <v>12095</v>
      </c>
      <c r="K2929">
        <v>0</v>
      </c>
      <c r="L2929">
        <v>45</v>
      </c>
    </row>
    <row r="2930" spans="1:12">
      <c r="A2930" s="183" t="s">
        <v>8722</v>
      </c>
      <c r="B2930" s="183" t="s">
        <v>8688</v>
      </c>
      <c r="C2930">
        <v>8800358460431</v>
      </c>
      <c r="D2930">
        <v>45</v>
      </c>
      <c r="E2930">
        <v>0</v>
      </c>
      <c r="F2930">
        <v>0</v>
      </c>
      <c r="G2930">
        <v>0</v>
      </c>
      <c r="H2930">
        <v>45</v>
      </c>
      <c r="I2930" s="183" t="s">
        <v>8689</v>
      </c>
      <c r="J2930" s="183" t="s">
        <v>12066</v>
      </c>
      <c r="K2930">
        <v>0</v>
      </c>
      <c r="L2930">
        <v>45</v>
      </c>
    </row>
    <row r="2931" spans="1:12">
      <c r="A2931" s="183" t="s">
        <v>8723</v>
      </c>
      <c r="B2931" s="183" t="s">
        <v>8688</v>
      </c>
      <c r="C2931">
        <v>8800358460455</v>
      </c>
      <c r="D2931">
        <v>15</v>
      </c>
      <c r="E2931">
        <v>0</v>
      </c>
      <c r="F2931">
        <v>0</v>
      </c>
      <c r="G2931">
        <v>0</v>
      </c>
      <c r="H2931">
        <v>15</v>
      </c>
      <c r="I2931" s="183" t="s">
        <v>8689</v>
      </c>
      <c r="J2931" s="183" t="s">
        <v>12055</v>
      </c>
      <c r="K2931">
        <v>0</v>
      </c>
      <c r="L2931">
        <v>15</v>
      </c>
    </row>
    <row r="2932" spans="1:12">
      <c r="A2932" s="183" t="s">
        <v>8724</v>
      </c>
      <c r="B2932" s="183" t="s">
        <v>8692</v>
      </c>
      <c r="C2932">
        <v>8800358460578</v>
      </c>
      <c r="D2932">
        <v>135</v>
      </c>
      <c r="E2932">
        <v>0</v>
      </c>
      <c r="F2932">
        <v>0</v>
      </c>
      <c r="G2932">
        <v>0</v>
      </c>
      <c r="H2932">
        <v>135</v>
      </c>
      <c r="I2932" s="183" t="s">
        <v>8693</v>
      </c>
      <c r="J2932" s="183" t="s">
        <v>12050</v>
      </c>
      <c r="K2932">
        <v>0</v>
      </c>
      <c r="L2932">
        <v>135</v>
      </c>
    </row>
    <row r="2933" spans="1:12">
      <c r="A2933" s="183" t="s">
        <v>8725</v>
      </c>
      <c r="B2933" s="183" t="s">
        <v>8698</v>
      </c>
      <c r="C2933">
        <v>8800358460752</v>
      </c>
      <c r="D2933">
        <v>195</v>
      </c>
      <c r="E2933">
        <v>0</v>
      </c>
      <c r="F2933">
        <v>0</v>
      </c>
      <c r="G2933">
        <v>0</v>
      </c>
      <c r="H2933">
        <v>195</v>
      </c>
      <c r="I2933" s="183" t="s">
        <v>8699</v>
      </c>
      <c r="J2933" s="183" t="s">
        <v>12057</v>
      </c>
      <c r="K2933">
        <v>0</v>
      </c>
      <c r="L2933">
        <v>195</v>
      </c>
    </row>
    <row r="2934" spans="1:12">
      <c r="A2934" s="183" t="s">
        <v>8726</v>
      </c>
      <c r="B2934" s="183" t="s">
        <v>8698</v>
      </c>
      <c r="C2934">
        <v>8800358460776</v>
      </c>
      <c r="D2934">
        <v>165</v>
      </c>
      <c r="E2934">
        <v>0</v>
      </c>
      <c r="F2934">
        <v>0</v>
      </c>
      <c r="G2934">
        <v>0</v>
      </c>
      <c r="H2934">
        <v>165</v>
      </c>
      <c r="I2934" s="183" t="s">
        <v>8699</v>
      </c>
      <c r="J2934" s="183" t="s">
        <v>12050</v>
      </c>
      <c r="K2934">
        <v>0</v>
      </c>
      <c r="L2934">
        <v>165</v>
      </c>
    </row>
    <row r="2935" spans="1:12">
      <c r="A2935" s="183" t="s">
        <v>8727</v>
      </c>
      <c r="B2935" s="183" t="s">
        <v>8698</v>
      </c>
      <c r="C2935">
        <v>8800358460783</v>
      </c>
      <c r="D2935">
        <v>135</v>
      </c>
      <c r="E2935">
        <v>0</v>
      </c>
      <c r="F2935">
        <v>0</v>
      </c>
      <c r="G2935">
        <v>0</v>
      </c>
      <c r="H2935">
        <v>135</v>
      </c>
      <c r="I2935" s="183" t="s">
        <v>8699</v>
      </c>
      <c r="J2935" s="183" t="s">
        <v>12048</v>
      </c>
      <c r="K2935">
        <v>0</v>
      </c>
      <c r="L2935">
        <v>135</v>
      </c>
    </row>
    <row r="2936" spans="1:12">
      <c r="A2936" s="183" t="s">
        <v>8728</v>
      </c>
      <c r="B2936" s="183" t="s">
        <v>8698</v>
      </c>
      <c r="C2936">
        <v>8800358460813</v>
      </c>
      <c r="D2936">
        <v>135</v>
      </c>
      <c r="E2936">
        <v>0</v>
      </c>
      <c r="F2936">
        <v>0</v>
      </c>
      <c r="G2936">
        <v>0</v>
      </c>
      <c r="H2936">
        <v>135</v>
      </c>
      <c r="I2936" s="183" t="s">
        <v>8699</v>
      </c>
      <c r="J2936" s="183" t="s">
        <v>12063</v>
      </c>
      <c r="K2936">
        <v>0</v>
      </c>
      <c r="L2936">
        <v>135</v>
      </c>
    </row>
    <row r="2937" spans="1:12">
      <c r="A2937" s="183" t="s">
        <v>8729</v>
      </c>
      <c r="B2937" s="183" t="s">
        <v>8698</v>
      </c>
      <c r="C2937">
        <v>8800358460837</v>
      </c>
      <c r="D2937">
        <v>135</v>
      </c>
      <c r="E2937">
        <v>0</v>
      </c>
      <c r="F2937">
        <v>0</v>
      </c>
      <c r="G2937">
        <v>0</v>
      </c>
      <c r="H2937">
        <v>135</v>
      </c>
      <c r="I2937" s="183" t="s">
        <v>8699</v>
      </c>
      <c r="J2937" s="183" t="s">
        <v>12061</v>
      </c>
      <c r="K2937">
        <v>0</v>
      </c>
      <c r="L2937">
        <v>135</v>
      </c>
    </row>
    <row r="2938" spans="1:12">
      <c r="A2938" s="183" t="s">
        <v>8730</v>
      </c>
      <c r="B2938" s="183" t="s">
        <v>8698</v>
      </c>
      <c r="C2938">
        <v>8800358460905</v>
      </c>
      <c r="D2938">
        <v>45</v>
      </c>
      <c r="E2938">
        <v>0</v>
      </c>
      <c r="F2938">
        <v>0</v>
      </c>
      <c r="G2938">
        <v>0</v>
      </c>
      <c r="H2938">
        <v>45</v>
      </c>
      <c r="I2938" s="183" t="s">
        <v>8699</v>
      </c>
      <c r="J2938" s="183" t="s">
        <v>12050</v>
      </c>
      <c r="K2938">
        <v>0</v>
      </c>
      <c r="L2938">
        <v>45</v>
      </c>
    </row>
    <row r="2939" spans="1:12">
      <c r="A2939" s="183" t="s">
        <v>5645</v>
      </c>
      <c r="B2939" s="183" t="s">
        <v>5246</v>
      </c>
      <c r="C2939">
        <v>8800322949207</v>
      </c>
      <c r="D2939">
        <v>50</v>
      </c>
      <c r="E2939">
        <v>0</v>
      </c>
      <c r="F2939">
        <v>0</v>
      </c>
      <c r="G2939">
        <v>0</v>
      </c>
      <c r="H2939">
        <v>50</v>
      </c>
      <c r="I2939" s="183" t="s">
        <v>5247</v>
      </c>
      <c r="J2939" s="183" t="s">
        <v>12063</v>
      </c>
      <c r="K2939">
        <v>0</v>
      </c>
      <c r="L2939">
        <v>50</v>
      </c>
    </row>
    <row r="2940" spans="1:12">
      <c r="A2940" s="183" t="s">
        <v>5340</v>
      </c>
      <c r="B2940" s="183" t="s">
        <v>5246</v>
      </c>
      <c r="C2940">
        <v>8800322950968</v>
      </c>
      <c r="D2940">
        <v>533</v>
      </c>
      <c r="E2940">
        <v>0</v>
      </c>
      <c r="F2940">
        <v>0</v>
      </c>
      <c r="G2940">
        <v>0</v>
      </c>
      <c r="H2940">
        <v>533</v>
      </c>
      <c r="I2940" s="183" t="s">
        <v>5247</v>
      </c>
      <c r="J2940" s="183" t="s">
        <v>12055</v>
      </c>
      <c r="K2940">
        <v>0</v>
      </c>
      <c r="L2940">
        <v>533</v>
      </c>
    </row>
    <row r="2941" spans="1:12">
      <c r="A2941" s="183" t="s">
        <v>5341</v>
      </c>
      <c r="B2941" s="183" t="s">
        <v>5246</v>
      </c>
      <c r="C2941">
        <v>8800322948965</v>
      </c>
      <c r="D2941">
        <v>50</v>
      </c>
      <c r="E2941">
        <v>0</v>
      </c>
      <c r="F2941">
        <v>0</v>
      </c>
      <c r="G2941">
        <v>0</v>
      </c>
      <c r="H2941">
        <v>50</v>
      </c>
      <c r="I2941" s="183" t="s">
        <v>5247</v>
      </c>
      <c r="J2941" s="183" t="s">
        <v>12085</v>
      </c>
      <c r="K2941">
        <v>0</v>
      </c>
      <c r="L2941">
        <v>50</v>
      </c>
    </row>
    <row r="2942" spans="1:12">
      <c r="A2942" s="183" t="s">
        <v>5342</v>
      </c>
      <c r="B2942" s="183" t="s">
        <v>5246</v>
      </c>
      <c r="C2942">
        <v>8800322949719</v>
      </c>
      <c r="D2942">
        <v>50</v>
      </c>
      <c r="E2942">
        <v>0</v>
      </c>
      <c r="F2942">
        <v>0</v>
      </c>
      <c r="G2942">
        <v>0</v>
      </c>
      <c r="H2942">
        <v>50</v>
      </c>
      <c r="I2942" s="183" t="s">
        <v>5247</v>
      </c>
      <c r="J2942" s="183" t="s">
        <v>12085</v>
      </c>
      <c r="K2942">
        <v>0</v>
      </c>
      <c r="L2942">
        <v>50</v>
      </c>
    </row>
    <row r="2943" spans="1:12">
      <c r="A2943" s="183" t="s">
        <v>5778</v>
      </c>
      <c r="B2943" s="183" t="s">
        <v>5246</v>
      </c>
      <c r="C2943">
        <v>8800322949467</v>
      </c>
      <c r="D2943">
        <v>50</v>
      </c>
      <c r="E2943">
        <v>0</v>
      </c>
      <c r="F2943">
        <v>0</v>
      </c>
      <c r="G2943">
        <v>0</v>
      </c>
      <c r="H2943">
        <v>50</v>
      </c>
      <c r="I2943" s="183" t="s">
        <v>5247</v>
      </c>
      <c r="J2943" s="183" t="s">
        <v>12087</v>
      </c>
      <c r="K2943">
        <v>0</v>
      </c>
      <c r="L2943">
        <v>50</v>
      </c>
    </row>
    <row r="2944" spans="1:12">
      <c r="A2944" s="183" t="s">
        <v>5343</v>
      </c>
      <c r="B2944" s="183" t="s">
        <v>5246</v>
      </c>
      <c r="C2944">
        <v>8800322946725</v>
      </c>
      <c r="D2944">
        <v>50</v>
      </c>
      <c r="E2944">
        <v>0</v>
      </c>
      <c r="F2944">
        <v>0</v>
      </c>
      <c r="G2944">
        <v>0</v>
      </c>
      <c r="H2944">
        <v>50</v>
      </c>
      <c r="I2944" s="183" t="s">
        <v>5247</v>
      </c>
      <c r="J2944" s="183" t="s">
        <v>12057</v>
      </c>
      <c r="K2944">
        <v>0</v>
      </c>
      <c r="L2944">
        <v>50</v>
      </c>
    </row>
    <row r="2945" spans="1:12">
      <c r="A2945" s="183" t="s">
        <v>5344</v>
      </c>
      <c r="B2945" s="183" t="s">
        <v>5246</v>
      </c>
      <c r="C2945">
        <v>8800322947470</v>
      </c>
      <c r="D2945">
        <v>50</v>
      </c>
      <c r="E2945">
        <v>0</v>
      </c>
      <c r="F2945">
        <v>0</v>
      </c>
      <c r="G2945">
        <v>0</v>
      </c>
      <c r="H2945">
        <v>50</v>
      </c>
      <c r="I2945" s="183" t="s">
        <v>5247</v>
      </c>
      <c r="J2945" s="183" t="s">
        <v>12050</v>
      </c>
      <c r="K2945">
        <v>0</v>
      </c>
      <c r="L2945">
        <v>50</v>
      </c>
    </row>
    <row r="2946" spans="1:12">
      <c r="A2946" s="183" t="s">
        <v>381</v>
      </c>
      <c r="B2946" s="183" t="s">
        <v>1059</v>
      </c>
      <c r="C2946">
        <v>90180236</v>
      </c>
      <c r="D2946">
        <v>76</v>
      </c>
      <c r="E2946">
        <v>0</v>
      </c>
      <c r="F2946">
        <v>0</v>
      </c>
      <c r="G2946">
        <v>0</v>
      </c>
      <c r="H2946">
        <v>76</v>
      </c>
      <c r="I2946" s="183" t="s">
        <v>1020</v>
      </c>
      <c r="J2946" s="183" t="s">
        <v>12053</v>
      </c>
      <c r="K2946">
        <v>0</v>
      </c>
      <c r="L2946">
        <v>76</v>
      </c>
    </row>
    <row r="2947" spans="1:12">
      <c r="A2947" s="183" t="s">
        <v>382</v>
      </c>
      <c r="B2947" s="183" t="s">
        <v>1233</v>
      </c>
      <c r="C2947">
        <v>90180238</v>
      </c>
      <c r="D2947">
        <v>116</v>
      </c>
      <c r="E2947">
        <v>0</v>
      </c>
      <c r="F2947">
        <v>0</v>
      </c>
      <c r="G2947">
        <v>0</v>
      </c>
      <c r="H2947">
        <v>116</v>
      </c>
      <c r="I2947" s="183" t="s">
        <v>1020</v>
      </c>
      <c r="J2947" s="183" t="s">
        <v>12067</v>
      </c>
      <c r="K2947">
        <v>0</v>
      </c>
      <c r="L2947">
        <v>116</v>
      </c>
    </row>
    <row r="2948" spans="1:12">
      <c r="A2948" s="183" t="s">
        <v>5723</v>
      </c>
      <c r="B2948" s="183" t="s">
        <v>8644</v>
      </c>
      <c r="C2948">
        <v>8800322942925</v>
      </c>
      <c r="D2948">
        <v>831</v>
      </c>
      <c r="E2948">
        <v>0</v>
      </c>
      <c r="F2948">
        <v>1</v>
      </c>
      <c r="G2948">
        <v>0</v>
      </c>
      <c r="H2948">
        <v>832</v>
      </c>
      <c r="I2948" s="183" t="s">
        <v>5710</v>
      </c>
      <c r="J2948" s="183" t="s">
        <v>12048</v>
      </c>
      <c r="K2948">
        <v>0</v>
      </c>
      <c r="L2948">
        <v>831</v>
      </c>
    </row>
    <row r="2949" spans="1:12">
      <c r="A2949" s="183" t="s">
        <v>5724</v>
      </c>
      <c r="B2949" s="183" t="s">
        <v>8644</v>
      </c>
      <c r="C2949">
        <v>8800322942970</v>
      </c>
      <c r="D2949">
        <v>556</v>
      </c>
      <c r="E2949">
        <v>0</v>
      </c>
      <c r="F2949">
        <v>0</v>
      </c>
      <c r="G2949">
        <v>0</v>
      </c>
      <c r="H2949">
        <v>556</v>
      </c>
      <c r="I2949" s="183" t="s">
        <v>5710</v>
      </c>
      <c r="J2949" s="183" t="s">
        <v>12050</v>
      </c>
      <c r="K2949">
        <v>0</v>
      </c>
      <c r="L2949">
        <v>556</v>
      </c>
    </row>
    <row r="2950" spans="1:12">
      <c r="A2950" s="183" t="s">
        <v>5848</v>
      </c>
      <c r="B2950" s="183" t="s">
        <v>8644</v>
      </c>
      <c r="C2950">
        <v>8800322943137</v>
      </c>
      <c r="D2950">
        <v>537</v>
      </c>
      <c r="E2950">
        <v>0</v>
      </c>
      <c r="F2950">
        <v>0</v>
      </c>
      <c r="G2950">
        <v>0</v>
      </c>
      <c r="H2950">
        <v>537</v>
      </c>
      <c r="I2950" s="183" t="s">
        <v>5710</v>
      </c>
      <c r="J2950" s="183" t="s">
        <v>12057</v>
      </c>
      <c r="K2950">
        <v>0</v>
      </c>
      <c r="L2950">
        <v>537</v>
      </c>
    </row>
    <row r="2951" spans="1:12">
      <c r="A2951" s="183" t="s">
        <v>5725</v>
      </c>
      <c r="B2951" s="183" t="s">
        <v>8646</v>
      </c>
      <c r="C2951">
        <v>8800322943175</v>
      </c>
      <c r="D2951">
        <v>553</v>
      </c>
      <c r="E2951">
        <v>0</v>
      </c>
      <c r="F2951">
        <v>0</v>
      </c>
      <c r="G2951">
        <v>0</v>
      </c>
      <c r="H2951">
        <v>553</v>
      </c>
      <c r="I2951" s="183" t="s">
        <v>5720</v>
      </c>
      <c r="J2951" s="183" t="s">
        <v>12066</v>
      </c>
      <c r="K2951">
        <v>0</v>
      </c>
      <c r="L2951">
        <v>553</v>
      </c>
    </row>
    <row r="2952" spans="1:12">
      <c r="A2952" s="183" t="s">
        <v>5849</v>
      </c>
      <c r="B2952" s="183" t="s">
        <v>8646</v>
      </c>
      <c r="C2952">
        <v>8800322943359</v>
      </c>
      <c r="D2952">
        <v>624</v>
      </c>
      <c r="E2952">
        <v>0</v>
      </c>
      <c r="F2952">
        <v>0</v>
      </c>
      <c r="G2952">
        <v>0</v>
      </c>
      <c r="H2952">
        <v>624</v>
      </c>
      <c r="I2952" s="183" t="s">
        <v>5720</v>
      </c>
      <c r="J2952" s="183" t="s">
        <v>12057</v>
      </c>
      <c r="K2952">
        <v>0</v>
      </c>
      <c r="L2952">
        <v>624</v>
      </c>
    </row>
    <row r="2953" spans="1:12">
      <c r="A2953" s="183" t="s">
        <v>6326</v>
      </c>
      <c r="B2953" s="183" t="s">
        <v>8645</v>
      </c>
      <c r="C2953">
        <v>8800322943434</v>
      </c>
      <c r="D2953">
        <v>541</v>
      </c>
      <c r="E2953">
        <v>0</v>
      </c>
      <c r="F2953">
        <v>0</v>
      </c>
      <c r="G2953">
        <v>0</v>
      </c>
      <c r="H2953">
        <v>541</v>
      </c>
      <c r="I2953" s="183" t="s">
        <v>5712</v>
      </c>
      <c r="J2953" s="183" t="s">
        <v>12055</v>
      </c>
      <c r="K2953">
        <v>0</v>
      </c>
      <c r="L2953">
        <v>541</v>
      </c>
    </row>
    <row r="2954" spans="1:12">
      <c r="A2954" s="183" t="s">
        <v>5726</v>
      </c>
      <c r="B2954" s="183" t="s">
        <v>8645</v>
      </c>
      <c r="C2954">
        <v>8800322943465</v>
      </c>
      <c r="D2954">
        <v>613</v>
      </c>
      <c r="E2954">
        <v>0</v>
      </c>
      <c r="F2954">
        <v>0</v>
      </c>
      <c r="G2954">
        <v>0</v>
      </c>
      <c r="H2954">
        <v>613</v>
      </c>
      <c r="I2954" s="183" t="s">
        <v>5712</v>
      </c>
      <c r="J2954" s="183" t="s">
        <v>12048</v>
      </c>
      <c r="K2954">
        <v>0</v>
      </c>
      <c r="L2954">
        <v>613</v>
      </c>
    </row>
    <row r="2955" spans="1:12">
      <c r="A2955" s="183" t="s">
        <v>5727</v>
      </c>
      <c r="B2955" s="183" t="s">
        <v>8645</v>
      </c>
      <c r="C2955">
        <v>8800322943489</v>
      </c>
      <c r="D2955">
        <v>564</v>
      </c>
      <c r="E2955">
        <v>0</v>
      </c>
      <c r="F2955">
        <v>0</v>
      </c>
      <c r="G2955">
        <v>0</v>
      </c>
      <c r="H2955">
        <v>564</v>
      </c>
      <c r="I2955" s="183" t="s">
        <v>5712</v>
      </c>
      <c r="J2955" s="183" t="s">
        <v>12055</v>
      </c>
      <c r="K2955">
        <v>0</v>
      </c>
      <c r="L2955">
        <v>564</v>
      </c>
    </row>
    <row r="2956" spans="1:12">
      <c r="A2956" s="183" t="s">
        <v>5850</v>
      </c>
      <c r="B2956" s="183" t="s">
        <v>8645</v>
      </c>
      <c r="C2956">
        <v>8800322943632</v>
      </c>
      <c r="D2956">
        <v>599</v>
      </c>
      <c r="E2956">
        <v>0</v>
      </c>
      <c r="F2956">
        <v>1</v>
      </c>
      <c r="G2956">
        <v>0</v>
      </c>
      <c r="H2956">
        <v>600</v>
      </c>
      <c r="I2956" s="183" t="s">
        <v>5712</v>
      </c>
      <c r="J2956" s="183" t="s">
        <v>12095</v>
      </c>
      <c r="K2956">
        <v>0</v>
      </c>
      <c r="L2956">
        <v>599</v>
      </c>
    </row>
    <row r="2957" spans="1:12">
      <c r="A2957" s="183" t="s">
        <v>385</v>
      </c>
      <c r="B2957" s="183" t="s">
        <v>386</v>
      </c>
      <c r="C2957">
        <v>80172203</v>
      </c>
      <c r="D2957">
        <v>360</v>
      </c>
      <c r="E2957">
        <v>0</v>
      </c>
      <c r="F2957">
        <v>67</v>
      </c>
      <c r="G2957">
        <v>0</v>
      </c>
      <c r="H2957">
        <v>427</v>
      </c>
      <c r="I2957" s="183" t="s">
        <v>1058</v>
      </c>
      <c r="J2957" s="183" t="s">
        <v>12058</v>
      </c>
      <c r="K2957">
        <v>0</v>
      </c>
      <c r="L2957">
        <v>360</v>
      </c>
    </row>
    <row r="2958" spans="1:12">
      <c r="A2958" s="183" t="s">
        <v>6351</v>
      </c>
      <c r="B2958" s="183" t="s">
        <v>6352</v>
      </c>
      <c r="C2958">
        <v>80172213</v>
      </c>
      <c r="D2958">
        <v>360</v>
      </c>
      <c r="E2958">
        <v>0</v>
      </c>
      <c r="F2958">
        <v>0</v>
      </c>
      <c r="G2958">
        <v>0</v>
      </c>
      <c r="H2958">
        <v>360</v>
      </c>
      <c r="I2958" s="183" t="s">
        <v>1058</v>
      </c>
      <c r="J2958" s="183" t="s">
        <v>12094</v>
      </c>
      <c r="K2958">
        <v>0</v>
      </c>
      <c r="L2958">
        <v>360</v>
      </c>
    </row>
    <row r="2959" spans="1:12">
      <c r="A2959" s="183" t="s">
        <v>6349</v>
      </c>
      <c r="B2959" s="183" t="s">
        <v>6350</v>
      </c>
      <c r="C2959">
        <v>80172216</v>
      </c>
      <c r="D2959">
        <v>528</v>
      </c>
      <c r="E2959">
        <v>0</v>
      </c>
      <c r="F2959">
        <v>0</v>
      </c>
      <c r="G2959">
        <v>0</v>
      </c>
      <c r="H2959">
        <v>528</v>
      </c>
      <c r="I2959" s="183" t="s">
        <v>1058</v>
      </c>
      <c r="J2959" s="183" t="s">
        <v>12094</v>
      </c>
      <c r="K2959">
        <v>0</v>
      </c>
      <c r="L2959">
        <v>528</v>
      </c>
    </row>
    <row r="2960" spans="1:12">
      <c r="A2960" s="183" t="s">
        <v>6262</v>
      </c>
      <c r="B2960" s="183" t="s">
        <v>6263</v>
      </c>
      <c r="C2960">
        <v>80172221</v>
      </c>
      <c r="D2960">
        <v>132</v>
      </c>
      <c r="E2960">
        <v>0</v>
      </c>
      <c r="F2960">
        <v>0</v>
      </c>
      <c r="G2960">
        <v>0</v>
      </c>
      <c r="H2960">
        <v>132</v>
      </c>
      <c r="I2960" s="183" t="s">
        <v>1058</v>
      </c>
      <c r="J2960" s="183" t="s">
        <v>12081</v>
      </c>
      <c r="K2960">
        <v>0</v>
      </c>
      <c r="L2960">
        <v>132</v>
      </c>
    </row>
    <row r="2961" spans="1:12">
      <c r="A2961" s="183" t="s">
        <v>6625</v>
      </c>
      <c r="B2961" s="183" t="s">
        <v>6626</v>
      </c>
      <c r="C2961">
        <v>80172224</v>
      </c>
      <c r="D2961">
        <v>183</v>
      </c>
      <c r="E2961">
        <v>0</v>
      </c>
      <c r="F2961">
        <v>0</v>
      </c>
      <c r="G2961">
        <v>0</v>
      </c>
      <c r="H2961">
        <v>183</v>
      </c>
      <c r="I2961" s="183" t="s">
        <v>1058</v>
      </c>
      <c r="J2961" s="183" t="s">
        <v>12056</v>
      </c>
      <c r="K2961">
        <v>0</v>
      </c>
      <c r="L2961">
        <v>183</v>
      </c>
    </row>
    <row r="2962" spans="1:12">
      <c r="A2962" s="183" t="s">
        <v>398</v>
      </c>
      <c r="B2962" s="183" t="s">
        <v>399</v>
      </c>
      <c r="C2962">
        <v>80172242</v>
      </c>
      <c r="D2962">
        <v>125</v>
      </c>
      <c r="E2962">
        <v>0</v>
      </c>
      <c r="F2962">
        <v>0</v>
      </c>
      <c r="G2962">
        <v>0</v>
      </c>
      <c r="H2962">
        <v>125</v>
      </c>
      <c r="I2962" s="183" t="s">
        <v>1058</v>
      </c>
      <c r="J2962" s="183" t="s">
        <v>12066</v>
      </c>
      <c r="K2962">
        <v>0</v>
      </c>
      <c r="L2962">
        <v>125</v>
      </c>
    </row>
    <row r="2963" spans="1:12">
      <c r="A2963" s="183" t="s">
        <v>6856</v>
      </c>
      <c r="B2963" s="183" t="s">
        <v>6338</v>
      </c>
      <c r="C2963">
        <v>8800358433602</v>
      </c>
      <c r="D2963">
        <v>330</v>
      </c>
      <c r="E2963">
        <v>0</v>
      </c>
      <c r="F2963">
        <v>0</v>
      </c>
      <c r="G2963">
        <v>0</v>
      </c>
      <c r="H2963">
        <v>330</v>
      </c>
      <c r="I2963" s="183" t="s">
        <v>6400</v>
      </c>
      <c r="J2963" s="183" t="s">
        <v>12061</v>
      </c>
      <c r="K2963">
        <v>0</v>
      </c>
      <c r="L2963">
        <v>330</v>
      </c>
    </row>
    <row r="2964" spans="1:12">
      <c r="A2964" s="183" t="s">
        <v>6618</v>
      </c>
      <c r="B2964" s="183" t="s">
        <v>6338</v>
      </c>
      <c r="C2964">
        <v>8800358433619</v>
      </c>
      <c r="D2964">
        <v>431</v>
      </c>
      <c r="E2964">
        <v>0</v>
      </c>
      <c r="F2964">
        <v>0</v>
      </c>
      <c r="G2964">
        <v>0</v>
      </c>
      <c r="H2964">
        <v>431</v>
      </c>
      <c r="I2964" s="183" t="s">
        <v>6400</v>
      </c>
      <c r="J2964" s="183" t="s">
        <v>12063</v>
      </c>
      <c r="K2964">
        <v>0</v>
      </c>
      <c r="L2964">
        <v>431</v>
      </c>
    </row>
    <row r="2965" spans="1:12">
      <c r="A2965" s="183" t="s">
        <v>6405</v>
      </c>
      <c r="B2965" s="183" t="s">
        <v>6338</v>
      </c>
      <c r="C2965">
        <v>8800358433794</v>
      </c>
      <c r="D2965">
        <v>132</v>
      </c>
      <c r="E2965">
        <v>0</v>
      </c>
      <c r="F2965">
        <v>0</v>
      </c>
      <c r="G2965">
        <v>0</v>
      </c>
      <c r="H2965">
        <v>132</v>
      </c>
      <c r="I2965" s="183" t="s">
        <v>6400</v>
      </c>
      <c r="J2965" s="183" t="s">
        <v>12050</v>
      </c>
      <c r="K2965">
        <v>0</v>
      </c>
      <c r="L2965">
        <v>132</v>
      </c>
    </row>
    <row r="2966" spans="1:12">
      <c r="A2966" s="183" t="s">
        <v>7184</v>
      </c>
      <c r="B2966" s="183" t="s">
        <v>1029</v>
      </c>
      <c r="C2966">
        <v>8800358433800</v>
      </c>
      <c r="D2966">
        <v>218</v>
      </c>
      <c r="E2966">
        <v>0</v>
      </c>
      <c r="F2966">
        <v>0</v>
      </c>
      <c r="G2966">
        <v>0</v>
      </c>
      <c r="H2966">
        <v>218</v>
      </c>
      <c r="I2966" s="183" t="s">
        <v>6453</v>
      </c>
      <c r="J2966" s="183" t="s">
        <v>12048</v>
      </c>
      <c r="K2966">
        <v>0</v>
      </c>
      <c r="L2966">
        <v>218</v>
      </c>
    </row>
    <row r="2967" spans="1:12">
      <c r="A2967" s="183" t="s">
        <v>6475</v>
      </c>
      <c r="B2967" s="183" t="s">
        <v>1026</v>
      </c>
      <c r="C2967">
        <v>8800358434159</v>
      </c>
      <c r="D2967">
        <v>353</v>
      </c>
      <c r="E2967">
        <v>0</v>
      </c>
      <c r="F2967">
        <v>0</v>
      </c>
      <c r="G2967">
        <v>0</v>
      </c>
      <c r="H2967">
        <v>353</v>
      </c>
      <c r="I2967" s="183" t="s">
        <v>6450</v>
      </c>
      <c r="J2967" s="183" t="s">
        <v>12057</v>
      </c>
      <c r="K2967">
        <v>0</v>
      </c>
      <c r="L2967">
        <v>353</v>
      </c>
    </row>
    <row r="2968" spans="1:12">
      <c r="A2968" s="183" t="s">
        <v>6624</v>
      </c>
      <c r="B2968" s="183" t="s">
        <v>1026</v>
      </c>
      <c r="C2968">
        <v>8800358434180</v>
      </c>
      <c r="D2968">
        <v>166</v>
      </c>
      <c r="E2968">
        <v>0</v>
      </c>
      <c r="F2968">
        <v>0</v>
      </c>
      <c r="G2968">
        <v>0</v>
      </c>
      <c r="H2968">
        <v>166</v>
      </c>
      <c r="I2968" s="183" t="s">
        <v>6450</v>
      </c>
      <c r="J2968" s="183" t="s">
        <v>12061</v>
      </c>
      <c r="K2968">
        <v>0</v>
      </c>
      <c r="L2968">
        <v>166</v>
      </c>
    </row>
    <row r="2969" spans="1:12">
      <c r="A2969" s="183" t="s">
        <v>6741</v>
      </c>
      <c r="B2969" s="183" t="s">
        <v>1026</v>
      </c>
      <c r="C2969">
        <v>8800358434388</v>
      </c>
      <c r="D2969">
        <v>140</v>
      </c>
      <c r="E2969">
        <v>0</v>
      </c>
      <c r="F2969">
        <v>0</v>
      </c>
      <c r="G2969">
        <v>0</v>
      </c>
      <c r="H2969">
        <v>140</v>
      </c>
      <c r="I2969" s="183" t="s">
        <v>6450</v>
      </c>
      <c r="J2969" s="183" t="s">
        <v>12061</v>
      </c>
      <c r="K2969">
        <v>0</v>
      </c>
      <c r="L2969">
        <v>140</v>
      </c>
    </row>
    <row r="2970" spans="1:12">
      <c r="A2970" s="183" t="s">
        <v>404</v>
      </c>
      <c r="B2970" s="183" t="s">
        <v>1182</v>
      </c>
      <c r="C2970">
        <v>15860205</v>
      </c>
      <c r="D2970">
        <v>0</v>
      </c>
      <c r="E2970">
        <v>0</v>
      </c>
      <c r="F2970" s="501">
        <v>1238</v>
      </c>
      <c r="G2970">
        <v>0</v>
      </c>
      <c r="H2970" s="501">
        <v>1238</v>
      </c>
      <c r="I2970" s="183" t="s">
        <v>1183</v>
      </c>
      <c r="J2970" s="183" t="s">
        <v>12091</v>
      </c>
      <c r="K2970">
        <v>0</v>
      </c>
      <c r="L2970">
        <v>0</v>
      </c>
    </row>
    <row r="2971" spans="1:12">
      <c r="A2971" s="183" t="s">
        <v>416</v>
      </c>
      <c r="B2971" s="183" t="s">
        <v>1182</v>
      </c>
      <c r="C2971">
        <v>15860217</v>
      </c>
      <c r="D2971">
        <v>59</v>
      </c>
      <c r="E2971">
        <v>0</v>
      </c>
      <c r="F2971" s="501">
        <v>2603</v>
      </c>
      <c r="G2971">
        <v>0</v>
      </c>
      <c r="H2971" s="501">
        <v>2662</v>
      </c>
      <c r="I2971" s="183" t="s">
        <v>1183</v>
      </c>
      <c r="J2971" s="183" t="s">
        <v>12059</v>
      </c>
      <c r="K2971">
        <v>0</v>
      </c>
      <c r="L2971">
        <v>59</v>
      </c>
    </row>
    <row r="2972" spans="1:12">
      <c r="A2972" s="183" t="s">
        <v>420</v>
      </c>
      <c r="B2972" s="183" t="s">
        <v>1182</v>
      </c>
      <c r="C2972">
        <v>15860221</v>
      </c>
      <c r="D2972">
        <v>275</v>
      </c>
      <c r="E2972">
        <v>0</v>
      </c>
      <c r="F2972" s="501">
        <v>1236</v>
      </c>
      <c r="G2972">
        <v>0</v>
      </c>
      <c r="H2972" s="501">
        <v>1511</v>
      </c>
      <c r="I2972" s="183" t="s">
        <v>1183</v>
      </c>
      <c r="J2972" s="183" t="s">
        <v>12053</v>
      </c>
      <c r="K2972">
        <v>0</v>
      </c>
      <c r="L2972">
        <v>275</v>
      </c>
    </row>
    <row r="2973" spans="1:12">
      <c r="A2973" s="183" t="s">
        <v>429</v>
      </c>
      <c r="B2973" s="183" t="s">
        <v>1182</v>
      </c>
      <c r="C2973">
        <v>15860236</v>
      </c>
      <c r="D2973">
        <v>259</v>
      </c>
      <c r="E2973">
        <v>0</v>
      </c>
      <c r="F2973">
        <v>217</v>
      </c>
      <c r="G2973">
        <v>0</v>
      </c>
      <c r="H2973">
        <v>476</v>
      </c>
      <c r="I2973" s="183" t="s">
        <v>1183</v>
      </c>
      <c r="J2973" s="183" t="s">
        <v>12067</v>
      </c>
      <c r="K2973">
        <v>0</v>
      </c>
      <c r="L2973">
        <v>259</v>
      </c>
    </row>
    <row r="2974" spans="1:12">
      <c r="A2974" s="183" t="s">
        <v>432</v>
      </c>
      <c r="B2974" s="183" t="s">
        <v>1010</v>
      </c>
      <c r="C2974">
        <v>15870202</v>
      </c>
      <c r="D2974">
        <v>99</v>
      </c>
      <c r="E2974">
        <v>0</v>
      </c>
      <c r="F2974">
        <v>551</v>
      </c>
      <c r="G2974">
        <v>0</v>
      </c>
      <c r="H2974">
        <v>650</v>
      </c>
      <c r="I2974" s="183" t="s">
        <v>1011</v>
      </c>
      <c r="J2974" s="183" t="s">
        <v>12053</v>
      </c>
      <c r="K2974">
        <v>0</v>
      </c>
      <c r="L2974">
        <v>99</v>
      </c>
    </row>
    <row r="2975" spans="1:12">
      <c r="A2975" s="183" t="s">
        <v>3926</v>
      </c>
      <c r="B2975" s="183" t="s">
        <v>1010</v>
      </c>
      <c r="C2975">
        <v>15870207</v>
      </c>
      <c r="D2975">
        <v>32</v>
      </c>
      <c r="E2975">
        <v>0</v>
      </c>
      <c r="F2975">
        <v>275</v>
      </c>
      <c r="G2975">
        <v>0</v>
      </c>
      <c r="H2975">
        <v>307</v>
      </c>
      <c r="I2975" s="183" t="s">
        <v>1011</v>
      </c>
      <c r="J2975" s="183" t="s">
        <v>12067</v>
      </c>
      <c r="K2975">
        <v>0</v>
      </c>
      <c r="L2975">
        <v>32</v>
      </c>
    </row>
    <row r="2976" spans="1:12">
      <c r="A2976" s="183" t="s">
        <v>3936</v>
      </c>
      <c r="B2976" s="183" t="s">
        <v>1010</v>
      </c>
      <c r="C2976">
        <v>15870214</v>
      </c>
      <c r="D2976">
        <v>0</v>
      </c>
      <c r="E2976">
        <v>0</v>
      </c>
      <c r="F2976">
        <v>359</v>
      </c>
      <c r="G2976">
        <v>0</v>
      </c>
      <c r="H2976">
        <v>359</v>
      </c>
      <c r="I2976" s="183" t="s">
        <v>1011</v>
      </c>
      <c r="J2976" s="183" t="s">
        <v>12060</v>
      </c>
      <c r="K2976">
        <v>0</v>
      </c>
      <c r="L2976">
        <v>0</v>
      </c>
    </row>
    <row r="2977" spans="1:12">
      <c r="A2977" s="183" t="s">
        <v>3940</v>
      </c>
      <c r="B2977" s="183" t="s">
        <v>1010</v>
      </c>
      <c r="C2977">
        <v>15870218</v>
      </c>
      <c r="D2977">
        <v>0</v>
      </c>
      <c r="E2977">
        <v>0</v>
      </c>
      <c r="F2977">
        <v>179</v>
      </c>
      <c r="G2977">
        <v>0</v>
      </c>
      <c r="H2977">
        <v>179</v>
      </c>
      <c r="I2977" s="183" t="s">
        <v>1011</v>
      </c>
      <c r="J2977" s="183" t="s">
        <v>12054</v>
      </c>
      <c r="K2977">
        <v>0</v>
      </c>
      <c r="L2977">
        <v>0</v>
      </c>
    </row>
    <row r="2978" spans="1:12">
      <c r="A2978" s="183" t="s">
        <v>453</v>
      </c>
      <c r="B2978" s="183" t="s">
        <v>1165</v>
      </c>
      <c r="C2978">
        <v>15880212</v>
      </c>
      <c r="D2978">
        <v>114</v>
      </c>
      <c r="E2978">
        <v>0</v>
      </c>
      <c r="F2978" s="501">
        <v>1143</v>
      </c>
      <c r="G2978">
        <v>0</v>
      </c>
      <c r="H2978" s="501">
        <v>1257</v>
      </c>
      <c r="I2978" s="183" t="s">
        <v>1166</v>
      </c>
      <c r="J2978" s="183" t="s">
        <v>12094</v>
      </c>
      <c r="K2978">
        <v>0</v>
      </c>
      <c r="L2978">
        <v>114</v>
      </c>
    </row>
    <row r="2979" spans="1:12">
      <c r="A2979" s="183" t="s">
        <v>459</v>
      </c>
      <c r="B2979" s="183" t="s">
        <v>1165</v>
      </c>
      <c r="C2979">
        <v>15880219</v>
      </c>
      <c r="D2979">
        <v>108</v>
      </c>
      <c r="E2979">
        <v>0</v>
      </c>
      <c r="F2979">
        <v>422</v>
      </c>
      <c r="G2979">
        <v>0</v>
      </c>
      <c r="H2979">
        <v>530</v>
      </c>
      <c r="I2979" s="183" t="s">
        <v>1166</v>
      </c>
      <c r="J2979" s="183" t="s">
        <v>12085</v>
      </c>
      <c r="K2979">
        <v>0</v>
      </c>
      <c r="L2979">
        <v>108</v>
      </c>
    </row>
    <row r="2980" spans="1:12">
      <c r="A2980" s="183" t="s">
        <v>468</v>
      </c>
      <c r="B2980" s="183" t="s">
        <v>1165</v>
      </c>
      <c r="C2980">
        <v>15880232</v>
      </c>
      <c r="D2980">
        <v>130</v>
      </c>
      <c r="E2980">
        <v>0</v>
      </c>
      <c r="F2980">
        <v>119</v>
      </c>
      <c r="G2980">
        <v>0</v>
      </c>
      <c r="H2980">
        <v>249</v>
      </c>
      <c r="I2980" s="183" t="s">
        <v>1166</v>
      </c>
      <c r="J2980" s="183" t="s">
        <v>12094</v>
      </c>
      <c r="K2980">
        <v>0</v>
      </c>
      <c r="L2980">
        <v>130</v>
      </c>
    </row>
    <row r="2981" spans="1:12">
      <c r="A2981" s="183" t="s">
        <v>3048</v>
      </c>
      <c r="B2981" s="183" t="s">
        <v>1031</v>
      </c>
      <c r="C2981">
        <v>16920217</v>
      </c>
      <c r="D2981">
        <v>91</v>
      </c>
      <c r="E2981">
        <v>0</v>
      </c>
      <c r="F2981">
        <v>1</v>
      </c>
      <c r="G2981">
        <v>0</v>
      </c>
      <c r="H2981">
        <v>92</v>
      </c>
      <c r="I2981" s="183" t="s">
        <v>996</v>
      </c>
      <c r="J2981" s="183" t="s">
        <v>12093</v>
      </c>
      <c r="K2981">
        <v>0</v>
      </c>
      <c r="L2981">
        <v>91</v>
      </c>
    </row>
    <row r="2982" spans="1:12">
      <c r="A2982" s="183" t="s">
        <v>484</v>
      </c>
      <c r="B2982" s="183" t="s">
        <v>1031</v>
      </c>
      <c r="C2982">
        <v>16920219</v>
      </c>
      <c r="D2982">
        <v>116</v>
      </c>
      <c r="E2982">
        <v>0</v>
      </c>
      <c r="F2982">
        <v>0</v>
      </c>
      <c r="G2982">
        <v>0</v>
      </c>
      <c r="H2982">
        <v>116</v>
      </c>
      <c r="I2982" s="183" t="s">
        <v>996</v>
      </c>
      <c r="J2982" s="183" t="s">
        <v>12087</v>
      </c>
      <c r="K2982">
        <v>0</v>
      </c>
      <c r="L2982">
        <v>116</v>
      </c>
    </row>
    <row r="2983" spans="1:12">
      <c r="A2983" s="183" t="s">
        <v>487</v>
      </c>
      <c r="B2983" s="183" t="s">
        <v>1077</v>
      </c>
      <c r="C2983">
        <v>16920222</v>
      </c>
      <c r="D2983">
        <v>68</v>
      </c>
      <c r="E2983">
        <v>0</v>
      </c>
      <c r="F2983">
        <v>0</v>
      </c>
      <c r="G2983">
        <v>0</v>
      </c>
      <c r="H2983">
        <v>68</v>
      </c>
      <c r="I2983" s="183" t="s">
        <v>996</v>
      </c>
      <c r="J2983" s="183" t="s">
        <v>12081</v>
      </c>
      <c r="K2983">
        <v>0</v>
      </c>
      <c r="L2983">
        <v>68</v>
      </c>
    </row>
    <row r="2984" spans="1:12">
      <c r="A2984" s="183" t="s">
        <v>2981</v>
      </c>
      <c r="B2984" s="183" t="s">
        <v>1190</v>
      </c>
      <c r="C2984">
        <v>16920224</v>
      </c>
      <c r="D2984">
        <v>269</v>
      </c>
      <c r="E2984">
        <v>0</v>
      </c>
      <c r="F2984">
        <v>0</v>
      </c>
      <c r="G2984">
        <v>0</v>
      </c>
      <c r="H2984">
        <v>269</v>
      </c>
      <c r="I2984" s="183" t="s">
        <v>996</v>
      </c>
      <c r="J2984" s="183" t="s">
        <v>12087</v>
      </c>
      <c r="K2984">
        <v>0</v>
      </c>
      <c r="L2984">
        <v>269</v>
      </c>
    </row>
    <row r="2985" spans="1:12">
      <c r="A2985" s="183" t="s">
        <v>491</v>
      </c>
      <c r="B2985" s="183" t="s">
        <v>1244</v>
      </c>
      <c r="C2985">
        <v>16920234</v>
      </c>
      <c r="D2985">
        <v>302</v>
      </c>
      <c r="E2985">
        <v>0</v>
      </c>
      <c r="F2985">
        <v>0</v>
      </c>
      <c r="G2985">
        <v>0</v>
      </c>
      <c r="H2985">
        <v>302</v>
      </c>
      <c r="I2985" s="183" t="s">
        <v>996</v>
      </c>
      <c r="J2985" s="183" t="s">
        <v>12092</v>
      </c>
      <c r="K2985">
        <v>0</v>
      </c>
      <c r="L2985">
        <v>302</v>
      </c>
    </row>
    <row r="2986" spans="1:12">
      <c r="A2986" s="183" t="s">
        <v>492</v>
      </c>
      <c r="B2986" s="183" t="s">
        <v>1037</v>
      </c>
      <c r="C2986">
        <v>16920236</v>
      </c>
      <c r="D2986">
        <v>87</v>
      </c>
      <c r="E2986">
        <v>0</v>
      </c>
      <c r="F2986">
        <v>0</v>
      </c>
      <c r="G2986">
        <v>0</v>
      </c>
      <c r="H2986">
        <v>87</v>
      </c>
      <c r="I2986" s="183" t="s">
        <v>996</v>
      </c>
      <c r="J2986" s="183" t="s">
        <v>12067</v>
      </c>
      <c r="K2986">
        <v>0</v>
      </c>
      <c r="L2986">
        <v>87</v>
      </c>
    </row>
    <row r="2987" spans="1:12">
      <c r="A2987" s="183" t="s">
        <v>493</v>
      </c>
      <c r="B2987" s="183" t="s">
        <v>1037</v>
      </c>
      <c r="C2987">
        <v>16920238</v>
      </c>
      <c r="D2987">
        <v>263</v>
      </c>
      <c r="E2987">
        <v>0</v>
      </c>
      <c r="F2987">
        <v>0</v>
      </c>
      <c r="G2987">
        <v>0</v>
      </c>
      <c r="H2987">
        <v>263</v>
      </c>
      <c r="I2987" s="183" t="s">
        <v>996</v>
      </c>
      <c r="J2987" s="183" t="s">
        <v>12093</v>
      </c>
      <c r="K2987">
        <v>0</v>
      </c>
      <c r="L2987">
        <v>263</v>
      </c>
    </row>
    <row r="2988" spans="1:12">
      <c r="A2988" s="183" t="s">
        <v>494</v>
      </c>
      <c r="B2988" s="183" t="s">
        <v>2457</v>
      </c>
      <c r="C2988">
        <v>16920240</v>
      </c>
      <c r="D2988">
        <v>226</v>
      </c>
      <c r="E2988">
        <v>0</v>
      </c>
      <c r="F2988">
        <v>0</v>
      </c>
      <c r="G2988">
        <v>0</v>
      </c>
      <c r="H2988">
        <v>226</v>
      </c>
      <c r="I2988" s="183" t="s">
        <v>996</v>
      </c>
      <c r="J2988" s="183" t="s">
        <v>12081</v>
      </c>
      <c r="K2988">
        <v>0</v>
      </c>
      <c r="L2988">
        <v>226</v>
      </c>
    </row>
    <row r="2989" spans="1:12">
      <c r="A2989" s="183" t="s">
        <v>499</v>
      </c>
      <c r="B2989" s="183" t="s">
        <v>1018</v>
      </c>
      <c r="C2989">
        <v>30010208</v>
      </c>
      <c r="D2989">
        <v>13</v>
      </c>
      <c r="E2989">
        <v>0</v>
      </c>
      <c r="F2989">
        <v>7</v>
      </c>
      <c r="G2989">
        <v>0</v>
      </c>
      <c r="H2989">
        <v>20</v>
      </c>
      <c r="I2989" s="183" t="s">
        <v>1019</v>
      </c>
      <c r="J2989" s="183" t="s">
        <v>12059</v>
      </c>
      <c r="K2989">
        <v>0</v>
      </c>
      <c r="L2989">
        <v>13</v>
      </c>
    </row>
    <row r="2990" spans="1:12">
      <c r="A2990" s="183" t="s">
        <v>500</v>
      </c>
      <c r="B2990" s="183" t="s">
        <v>1018</v>
      </c>
      <c r="C2990">
        <v>30010209</v>
      </c>
      <c r="D2990">
        <v>51</v>
      </c>
      <c r="E2990">
        <v>0</v>
      </c>
      <c r="F2990">
        <v>44</v>
      </c>
      <c r="G2990">
        <v>0</v>
      </c>
      <c r="H2990">
        <v>95</v>
      </c>
      <c r="I2990" s="183" t="s">
        <v>1019</v>
      </c>
      <c r="J2990" s="183" t="s">
        <v>12055</v>
      </c>
      <c r="K2990">
        <v>0</v>
      </c>
      <c r="L2990">
        <v>51</v>
      </c>
    </row>
    <row r="2991" spans="1:12">
      <c r="A2991" s="183" t="s">
        <v>463</v>
      </c>
      <c r="B2991" s="183" t="s">
        <v>1165</v>
      </c>
      <c r="C2991">
        <v>15880223</v>
      </c>
      <c r="D2991">
        <v>260</v>
      </c>
      <c r="E2991">
        <v>0</v>
      </c>
      <c r="F2991" s="501">
        <v>1323</v>
      </c>
      <c r="G2991">
        <v>0</v>
      </c>
      <c r="H2991" s="501">
        <v>1583</v>
      </c>
      <c r="I2991" s="183" t="s">
        <v>1166</v>
      </c>
      <c r="J2991" s="183" t="s">
        <v>12048</v>
      </c>
      <c r="K2991">
        <v>0</v>
      </c>
      <c r="L2991">
        <v>260</v>
      </c>
    </row>
    <row r="2992" spans="1:12">
      <c r="A2992" s="183" t="s">
        <v>466</v>
      </c>
      <c r="B2992" s="183" t="s">
        <v>1165</v>
      </c>
      <c r="C2992">
        <v>15880228</v>
      </c>
      <c r="D2992">
        <v>106</v>
      </c>
      <c r="E2992">
        <v>0</v>
      </c>
      <c r="F2992">
        <v>356</v>
      </c>
      <c r="G2992">
        <v>0</v>
      </c>
      <c r="H2992">
        <v>462</v>
      </c>
      <c r="I2992" s="183" t="s">
        <v>1166</v>
      </c>
      <c r="J2992" s="183" t="s">
        <v>12063</v>
      </c>
      <c r="K2992">
        <v>0</v>
      </c>
      <c r="L2992">
        <v>106</v>
      </c>
    </row>
    <row r="2993" spans="1:12">
      <c r="A2993" s="183" t="s">
        <v>467</v>
      </c>
      <c r="B2993" s="183" t="s">
        <v>1165</v>
      </c>
      <c r="C2993">
        <v>15880230</v>
      </c>
      <c r="D2993">
        <v>620</v>
      </c>
      <c r="E2993">
        <v>0</v>
      </c>
      <c r="F2993">
        <v>169</v>
      </c>
      <c r="G2993">
        <v>0</v>
      </c>
      <c r="H2993">
        <v>789</v>
      </c>
      <c r="I2993" s="183" t="s">
        <v>1166</v>
      </c>
      <c r="J2993" s="183" t="s">
        <v>12093</v>
      </c>
      <c r="K2993">
        <v>0</v>
      </c>
      <c r="L2993">
        <v>620</v>
      </c>
    </row>
    <row r="2994" spans="1:12">
      <c r="A2994" s="183" t="s">
        <v>477</v>
      </c>
      <c r="B2994" s="183" t="s">
        <v>1111</v>
      </c>
      <c r="C2994">
        <v>16920205</v>
      </c>
      <c r="D2994">
        <v>384</v>
      </c>
      <c r="E2994">
        <v>0</v>
      </c>
      <c r="F2994">
        <v>0</v>
      </c>
      <c r="G2994">
        <v>0</v>
      </c>
      <c r="H2994">
        <v>384</v>
      </c>
      <c r="I2994" s="183" t="s">
        <v>996</v>
      </c>
      <c r="J2994" s="183" t="s">
        <v>12093</v>
      </c>
      <c r="K2994">
        <v>0</v>
      </c>
      <c r="L2994">
        <v>384</v>
      </c>
    </row>
    <row r="2995" spans="1:12">
      <c r="A2995" s="183" t="s">
        <v>5776</v>
      </c>
      <c r="B2995" s="183" t="s">
        <v>995</v>
      </c>
      <c r="C2995">
        <v>16920210</v>
      </c>
      <c r="D2995">
        <v>69</v>
      </c>
      <c r="E2995">
        <v>0</v>
      </c>
      <c r="F2995">
        <v>0</v>
      </c>
      <c r="G2995">
        <v>0</v>
      </c>
      <c r="H2995">
        <v>69</v>
      </c>
      <c r="I2995" s="183" t="s">
        <v>996</v>
      </c>
      <c r="J2995" s="183" t="s">
        <v>12081</v>
      </c>
      <c r="K2995">
        <v>0</v>
      </c>
      <c r="L2995">
        <v>69</v>
      </c>
    </row>
    <row r="2996" spans="1:12">
      <c r="A2996" s="183" t="s">
        <v>2961</v>
      </c>
      <c r="B2996" s="183" t="s">
        <v>1158</v>
      </c>
      <c r="C2996">
        <v>16920215</v>
      </c>
      <c r="D2996">
        <v>311</v>
      </c>
      <c r="E2996">
        <v>0</v>
      </c>
      <c r="F2996">
        <v>0</v>
      </c>
      <c r="G2996">
        <v>0</v>
      </c>
      <c r="H2996">
        <v>311</v>
      </c>
      <c r="I2996" s="183" t="s">
        <v>996</v>
      </c>
      <c r="J2996" s="183" t="s">
        <v>12081</v>
      </c>
      <c r="K2996">
        <v>0</v>
      </c>
      <c r="L2996">
        <v>311</v>
      </c>
    </row>
    <row r="2997" spans="1:12">
      <c r="A2997" s="183" t="s">
        <v>489</v>
      </c>
      <c r="B2997" s="183" t="s">
        <v>1208</v>
      </c>
      <c r="C2997">
        <v>16920228</v>
      </c>
      <c r="D2997">
        <v>200</v>
      </c>
      <c r="E2997">
        <v>0</v>
      </c>
      <c r="F2997">
        <v>0</v>
      </c>
      <c r="G2997">
        <v>0</v>
      </c>
      <c r="H2997">
        <v>200</v>
      </c>
      <c r="I2997" s="183" t="s">
        <v>996</v>
      </c>
      <c r="J2997" s="183" t="s">
        <v>12066</v>
      </c>
      <c r="K2997">
        <v>0</v>
      </c>
      <c r="L2997">
        <v>200</v>
      </c>
    </row>
    <row r="2998" spans="1:12">
      <c r="A2998" s="183" t="s">
        <v>507</v>
      </c>
      <c r="B2998" s="183" t="s">
        <v>1018</v>
      </c>
      <c r="C2998">
        <v>30010217</v>
      </c>
      <c r="D2998">
        <v>102</v>
      </c>
      <c r="E2998">
        <v>0</v>
      </c>
      <c r="F2998">
        <v>0</v>
      </c>
      <c r="G2998">
        <v>0</v>
      </c>
      <c r="H2998">
        <v>102</v>
      </c>
      <c r="I2998" s="183" t="s">
        <v>1019</v>
      </c>
      <c r="J2998" s="183" t="s">
        <v>12091</v>
      </c>
      <c r="K2998">
        <v>0</v>
      </c>
      <c r="L2998">
        <v>102</v>
      </c>
    </row>
    <row r="2999" spans="1:12">
      <c r="A2999" s="183" t="s">
        <v>516</v>
      </c>
      <c r="B2999" s="183" t="s">
        <v>1018</v>
      </c>
      <c r="C2999">
        <v>30010232</v>
      </c>
      <c r="D2999">
        <v>0</v>
      </c>
      <c r="E2999">
        <v>0</v>
      </c>
      <c r="F2999">
        <v>8</v>
      </c>
      <c r="G2999">
        <v>0</v>
      </c>
      <c r="H2999">
        <v>8</v>
      </c>
      <c r="I2999" s="183" t="s">
        <v>1019</v>
      </c>
      <c r="J2999" s="183" t="s">
        <v>12067</v>
      </c>
      <c r="K2999">
        <v>0</v>
      </c>
      <c r="L2999">
        <v>0</v>
      </c>
    </row>
    <row r="3000" spans="1:12">
      <c r="A3000" s="183" t="s">
        <v>524</v>
      </c>
      <c r="B3000" s="183" t="s">
        <v>991</v>
      </c>
      <c r="C3000">
        <v>30020210</v>
      </c>
      <c r="D3000">
        <v>133</v>
      </c>
      <c r="E3000">
        <v>0</v>
      </c>
      <c r="F3000">
        <v>7</v>
      </c>
      <c r="G3000">
        <v>0</v>
      </c>
      <c r="H3000">
        <v>140</v>
      </c>
      <c r="I3000" s="183" t="s">
        <v>992</v>
      </c>
      <c r="J3000" s="183" t="s">
        <v>12054</v>
      </c>
      <c r="K3000">
        <v>0</v>
      </c>
      <c r="L3000">
        <v>133</v>
      </c>
    </row>
    <row r="3001" spans="1:12">
      <c r="A3001" s="183" t="s">
        <v>526</v>
      </c>
      <c r="B3001" s="183" t="s">
        <v>991</v>
      </c>
      <c r="C3001">
        <v>30020212</v>
      </c>
      <c r="D3001">
        <v>21</v>
      </c>
      <c r="E3001">
        <v>0</v>
      </c>
      <c r="F3001">
        <v>48</v>
      </c>
      <c r="G3001">
        <v>0</v>
      </c>
      <c r="H3001">
        <v>69</v>
      </c>
      <c r="I3001" s="183" t="s">
        <v>992</v>
      </c>
      <c r="J3001" s="183" t="s">
        <v>12054</v>
      </c>
      <c r="K3001">
        <v>0</v>
      </c>
      <c r="L3001">
        <v>21</v>
      </c>
    </row>
    <row r="3002" spans="1:12">
      <c r="A3002" s="183" t="s">
        <v>530</v>
      </c>
      <c r="B3002" s="183" t="s">
        <v>991</v>
      </c>
      <c r="C3002">
        <v>30020216</v>
      </c>
      <c r="D3002">
        <v>27</v>
      </c>
      <c r="E3002">
        <v>0</v>
      </c>
      <c r="F3002">
        <v>50</v>
      </c>
      <c r="G3002">
        <v>0</v>
      </c>
      <c r="H3002">
        <v>77</v>
      </c>
      <c r="I3002" s="183" t="s">
        <v>992</v>
      </c>
      <c r="J3002" s="183" t="s">
        <v>12059</v>
      </c>
      <c r="K3002">
        <v>0</v>
      </c>
      <c r="L3002">
        <v>27</v>
      </c>
    </row>
    <row r="3003" spans="1:12">
      <c r="A3003" s="183" t="s">
        <v>534</v>
      </c>
      <c r="B3003" s="183" t="s">
        <v>991</v>
      </c>
      <c r="C3003">
        <v>30020223</v>
      </c>
      <c r="D3003">
        <v>98</v>
      </c>
      <c r="E3003">
        <v>0</v>
      </c>
      <c r="F3003">
        <v>110</v>
      </c>
      <c r="G3003">
        <v>0</v>
      </c>
      <c r="H3003">
        <v>208</v>
      </c>
      <c r="I3003" s="183" t="s">
        <v>992</v>
      </c>
      <c r="J3003" s="183" t="s">
        <v>12094</v>
      </c>
      <c r="K3003">
        <v>0</v>
      </c>
      <c r="L3003">
        <v>98</v>
      </c>
    </row>
    <row r="3004" spans="1:12">
      <c r="A3004" s="183" t="s">
        <v>535</v>
      </c>
      <c r="B3004" s="183" t="s">
        <v>991</v>
      </c>
      <c r="C3004">
        <v>30020224</v>
      </c>
      <c r="D3004">
        <v>136</v>
      </c>
      <c r="E3004">
        <v>0</v>
      </c>
      <c r="F3004">
        <v>6</v>
      </c>
      <c r="G3004">
        <v>0</v>
      </c>
      <c r="H3004">
        <v>142</v>
      </c>
      <c r="I3004" s="183" t="s">
        <v>992</v>
      </c>
      <c r="J3004" s="183" t="s">
        <v>12094</v>
      </c>
      <c r="K3004">
        <v>0</v>
      </c>
      <c r="L3004">
        <v>136</v>
      </c>
    </row>
    <row r="3005" spans="1:12">
      <c r="A3005" s="183" t="s">
        <v>739</v>
      </c>
      <c r="B3005" s="183" t="s">
        <v>991</v>
      </c>
      <c r="C3005">
        <v>30020226</v>
      </c>
      <c r="D3005">
        <v>44</v>
      </c>
      <c r="E3005">
        <v>0</v>
      </c>
      <c r="F3005">
        <v>105</v>
      </c>
      <c r="G3005">
        <v>0</v>
      </c>
      <c r="H3005">
        <v>149</v>
      </c>
      <c r="I3005" s="183" t="s">
        <v>992</v>
      </c>
      <c r="J3005" s="183" t="s">
        <v>12081</v>
      </c>
      <c r="K3005">
        <v>0</v>
      </c>
      <c r="L3005">
        <v>44</v>
      </c>
    </row>
    <row r="3006" spans="1:12">
      <c r="A3006" s="183" t="s">
        <v>4492</v>
      </c>
      <c r="B3006" s="183" t="s">
        <v>1048</v>
      </c>
      <c r="C3006">
        <v>33010204</v>
      </c>
      <c r="D3006">
        <v>55</v>
      </c>
      <c r="E3006">
        <v>0</v>
      </c>
      <c r="F3006">
        <v>0</v>
      </c>
      <c r="G3006">
        <v>0</v>
      </c>
      <c r="H3006">
        <v>55</v>
      </c>
      <c r="I3006" s="183" t="s">
        <v>1049</v>
      </c>
      <c r="J3006" s="183" t="s">
        <v>12092</v>
      </c>
      <c r="K3006">
        <v>0</v>
      </c>
      <c r="L3006">
        <v>55</v>
      </c>
    </row>
    <row r="3007" spans="1:12">
      <c r="A3007" s="183" t="s">
        <v>543</v>
      </c>
      <c r="B3007" s="183" t="s">
        <v>1048</v>
      </c>
      <c r="C3007">
        <v>33010207</v>
      </c>
      <c r="D3007">
        <v>0</v>
      </c>
      <c r="E3007">
        <v>0</v>
      </c>
      <c r="F3007">
        <v>6</v>
      </c>
      <c r="G3007">
        <v>0</v>
      </c>
      <c r="H3007">
        <v>6</v>
      </c>
      <c r="I3007" s="183" t="s">
        <v>1049</v>
      </c>
      <c r="J3007" s="183" t="s">
        <v>12054</v>
      </c>
      <c r="K3007">
        <v>0</v>
      </c>
      <c r="L3007">
        <v>0</v>
      </c>
    </row>
    <row r="3008" spans="1:12">
      <c r="A3008" s="183" t="s">
        <v>4493</v>
      </c>
      <c r="B3008" s="183" t="s">
        <v>1048</v>
      </c>
      <c r="C3008">
        <v>33010209</v>
      </c>
      <c r="D3008">
        <v>57</v>
      </c>
      <c r="E3008">
        <v>0</v>
      </c>
      <c r="F3008">
        <v>0</v>
      </c>
      <c r="G3008">
        <v>0</v>
      </c>
      <c r="H3008">
        <v>57</v>
      </c>
      <c r="I3008" s="183" t="s">
        <v>1049</v>
      </c>
      <c r="J3008" s="183" t="s">
        <v>12052</v>
      </c>
      <c r="K3008">
        <v>0</v>
      </c>
      <c r="L3008">
        <v>57</v>
      </c>
    </row>
    <row r="3009" spans="1:12">
      <c r="A3009" s="183" t="s">
        <v>3683</v>
      </c>
      <c r="B3009" s="183" t="s">
        <v>1048</v>
      </c>
      <c r="C3009">
        <v>33010221</v>
      </c>
      <c r="D3009">
        <v>157</v>
      </c>
      <c r="E3009">
        <v>0</v>
      </c>
      <c r="F3009">
        <v>22</v>
      </c>
      <c r="G3009">
        <v>0</v>
      </c>
      <c r="H3009">
        <v>179</v>
      </c>
      <c r="I3009" s="183" t="s">
        <v>1049</v>
      </c>
      <c r="J3009" s="183" t="s">
        <v>12052</v>
      </c>
      <c r="K3009">
        <v>0</v>
      </c>
      <c r="L3009">
        <v>157</v>
      </c>
    </row>
    <row r="3010" spans="1:12">
      <c r="A3010" s="183" t="s">
        <v>740</v>
      </c>
      <c r="B3010" s="183" t="s">
        <v>1048</v>
      </c>
      <c r="C3010">
        <v>33010236</v>
      </c>
      <c r="D3010">
        <v>66</v>
      </c>
      <c r="E3010">
        <v>0</v>
      </c>
      <c r="F3010">
        <v>0</v>
      </c>
      <c r="G3010">
        <v>0</v>
      </c>
      <c r="H3010">
        <v>66</v>
      </c>
      <c r="I3010" s="183" t="s">
        <v>1049</v>
      </c>
      <c r="J3010" s="183" t="s">
        <v>12091</v>
      </c>
      <c r="K3010">
        <v>0</v>
      </c>
      <c r="L3010">
        <v>66</v>
      </c>
    </row>
    <row r="3011" spans="1:12">
      <c r="A3011" s="183" t="s">
        <v>555</v>
      </c>
      <c r="B3011" s="183" t="s">
        <v>1056</v>
      </c>
      <c r="C3011">
        <v>33020230</v>
      </c>
      <c r="D3011">
        <v>42</v>
      </c>
      <c r="E3011">
        <v>0</v>
      </c>
      <c r="F3011">
        <v>12</v>
      </c>
      <c r="G3011">
        <v>0</v>
      </c>
      <c r="H3011">
        <v>54</v>
      </c>
      <c r="I3011" s="183" t="s">
        <v>1057</v>
      </c>
      <c r="J3011" s="183" t="s">
        <v>12093</v>
      </c>
      <c r="K3011">
        <v>0</v>
      </c>
      <c r="L3011">
        <v>42</v>
      </c>
    </row>
    <row r="3012" spans="1:12">
      <c r="A3012" s="183" t="s">
        <v>572</v>
      </c>
      <c r="B3012" s="183" t="s">
        <v>1003</v>
      </c>
      <c r="C3012">
        <v>33040236</v>
      </c>
      <c r="D3012">
        <v>0</v>
      </c>
      <c r="E3012">
        <v>0</v>
      </c>
      <c r="F3012">
        <v>57</v>
      </c>
      <c r="G3012">
        <v>0</v>
      </c>
      <c r="H3012">
        <v>57</v>
      </c>
      <c r="I3012" s="183" t="s">
        <v>1004</v>
      </c>
      <c r="J3012" s="183" t="s">
        <v>12063</v>
      </c>
      <c r="K3012">
        <v>0</v>
      </c>
      <c r="L3012">
        <v>0</v>
      </c>
    </row>
    <row r="3013" spans="1:12">
      <c r="A3013" s="183" t="s">
        <v>4353</v>
      </c>
      <c r="B3013" s="183" t="s">
        <v>4354</v>
      </c>
      <c r="C3013">
        <v>8800269006261</v>
      </c>
      <c r="D3013">
        <v>180</v>
      </c>
      <c r="E3013">
        <v>0</v>
      </c>
      <c r="F3013">
        <v>0</v>
      </c>
      <c r="G3013">
        <v>0</v>
      </c>
      <c r="H3013">
        <v>180</v>
      </c>
      <c r="I3013" s="183" t="s">
        <v>4355</v>
      </c>
      <c r="J3013" s="183" t="s">
        <v>12085</v>
      </c>
      <c r="K3013">
        <v>0</v>
      </c>
      <c r="L3013">
        <v>180</v>
      </c>
    </row>
    <row r="3014" spans="1:12">
      <c r="A3014" s="183" t="s">
        <v>4356</v>
      </c>
      <c r="B3014" s="183" t="s">
        <v>4357</v>
      </c>
      <c r="C3014">
        <v>8800269006377</v>
      </c>
      <c r="D3014">
        <v>236</v>
      </c>
      <c r="E3014">
        <v>0</v>
      </c>
      <c r="F3014">
        <v>0</v>
      </c>
      <c r="G3014">
        <v>0</v>
      </c>
      <c r="H3014">
        <v>236</v>
      </c>
      <c r="I3014" s="183" t="s">
        <v>4355</v>
      </c>
      <c r="J3014" s="183" t="s">
        <v>12085</v>
      </c>
      <c r="K3014">
        <v>0</v>
      </c>
      <c r="L3014">
        <v>236</v>
      </c>
    </row>
    <row r="3015" spans="1:12">
      <c r="A3015" s="183" t="s">
        <v>4358</v>
      </c>
      <c r="B3015" s="183" t="s">
        <v>4359</v>
      </c>
      <c r="C3015">
        <v>8800269006605</v>
      </c>
      <c r="D3015">
        <v>164</v>
      </c>
      <c r="E3015">
        <v>0</v>
      </c>
      <c r="F3015">
        <v>0</v>
      </c>
      <c r="G3015">
        <v>0</v>
      </c>
      <c r="H3015">
        <v>164</v>
      </c>
      <c r="I3015" s="183" t="s">
        <v>4360</v>
      </c>
      <c r="J3015" s="183" t="s">
        <v>12095</v>
      </c>
      <c r="K3015">
        <v>0</v>
      </c>
      <c r="L3015">
        <v>164</v>
      </c>
    </row>
    <row r="3016" spans="1:12">
      <c r="A3016" s="183" t="s">
        <v>4361</v>
      </c>
      <c r="B3016" s="183" t="s">
        <v>4362</v>
      </c>
      <c r="C3016">
        <v>8800269006667</v>
      </c>
      <c r="D3016">
        <v>184</v>
      </c>
      <c r="E3016">
        <v>0</v>
      </c>
      <c r="F3016">
        <v>0</v>
      </c>
      <c r="G3016">
        <v>0</v>
      </c>
      <c r="H3016">
        <v>184</v>
      </c>
      <c r="I3016" s="183" t="s">
        <v>4360</v>
      </c>
      <c r="J3016" s="183" t="s">
        <v>12087</v>
      </c>
      <c r="K3016">
        <v>0</v>
      </c>
      <c r="L3016">
        <v>184</v>
      </c>
    </row>
    <row r="3017" spans="1:12">
      <c r="A3017" s="183" t="s">
        <v>4363</v>
      </c>
      <c r="B3017" s="183" t="s">
        <v>4364</v>
      </c>
      <c r="C3017">
        <v>8800269006674</v>
      </c>
      <c r="D3017">
        <v>146</v>
      </c>
      <c r="E3017">
        <v>0</v>
      </c>
      <c r="F3017">
        <v>0</v>
      </c>
      <c r="G3017">
        <v>0</v>
      </c>
      <c r="H3017">
        <v>146</v>
      </c>
      <c r="I3017" s="183" t="s">
        <v>4360</v>
      </c>
      <c r="J3017" s="183" t="s">
        <v>12050</v>
      </c>
      <c r="K3017">
        <v>0</v>
      </c>
      <c r="L3017">
        <v>146</v>
      </c>
    </row>
    <row r="3018" spans="1:12">
      <c r="A3018" s="183" t="s">
        <v>4569</v>
      </c>
      <c r="B3018" s="183" t="s">
        <v>4570</v>
      </c>
      <c r="C3018">
        <v>8800269028089</v>
      </c>
      <c r="D3018">
        <v>457</v>
      </c>
      <c r="E3018">
        <v>0</v>
      </c>
      <c r="F3018">
        <v>0</v>
      </c>
      <c r="G3018">
        <v>0</v>
      </c>
      <c r="H3018">
        <v>457</v>
      </c>
      <c r="I3018" s="183" t="s">
        <v>4499</v>
      </c>
      <c r="J3018" s="183" t="s">
        <v>12053</v>
      </c>
      <c r="K3018">
        <v>0</v>
      </c>
      <c r="L3018">
        <v>457</v>
      </c>
    </row>
    <row r="3019" spans="1:12">
      <c r="A3019" s="183" t="s">
        <v>4571</v>
      </c>
      <c r="B3019" s="183" t="s">
        <v>4572</v>
      </c>
      <c r="C3019">
        <v>8800269028119</v>
      </c>
      <c r="D3019">
        <v>451</v>
      </c>
      <c r="E3019">
        <v>0</v>
      </c>
      <c r="F3019">
        <v>0</v>
      </c>
      <c r="G3019">
        <v>0</v>
      </c>
      <c r="H3019">
        <v>451</v>
      </c>
      <c r="I3019" s="183" t="s">
        <v>4499</v>
      </c>
      <c r="J3019" s="183" t="s">
        <v>12094</v>
      </c>
      <c r="K3019">
        <v>0</v>
      </c>
      <c r="L3019">
        <v>451</v>
      </c>
    </row>
    <row r="3020" spans="1:12">
      <c r="A3020" s="183" t="s">
        <v>4573</v>
      </c>
      <c r="B3020" s="183" t="s">
        <v>4574</v>
      </c>
      <c r="C3020">
        <v>8800269028294</v>
      </c>
      <c r="D3020">
        <v>297</v>
      </c>
      <c r="E3020">
        <v>0</v>
      </c>
      <c r="F3020">
        <v>0</v>
      </c>
      <c r="G3020">
        <v>0</v>
      </c>
      <c r="H3020">
        <v>297</v>
      </c>
      <c r="I3020" s="183" t="s">
        <v>4499</v>
      </c>
      <c r="J3020" s="183" t="s">
        <v>12063</v>
      </c>
      <c r="K3020">
        <v>0</v>
      </c>
      <c r="L3020">
        <v>297</v>
      </c>
    </row>
    <row r="3021" spans="1:12">
      <c r="A3021" s="183" t="s">
        <v>4575</v>
      </c>
      <c r="B3021" s="183" t="s">
        <v>4538</v>
      </c>
      <c r="C3021">
        <v>8800269028324</v>
      </c>
      <c r="D3021">
        <v>435</v>
      </c>
      <c r="E3021">
        <v>0</v>
      </c>
      <c r="F3021">
        <v>0</v>
      </c>
      <c r="G3021">
        <v>0</v>
      </c>
      <c r="H3021">
        <v>435</v>
      </c>
      <c r="I3021" s="183" t="s">
        <v>4510</v>
      </c>
      <c r="J3021" s="183" t="s">
        <v>12048</v>
      </c>
      <c r="K3021">
        <v>0</v>
      </c>
      <c r="L3021">
        <v>435</v>
      </c>
    </row>
    <row r="3022" spans="1:12">
      <c r="A3022" s="183" t="s">
        <v>4576</v>
      </c>
      <c r="B3022" s="183" t="s">
        <v>4538</v>
      </c>
      <c r="C3022">
        <v>8800269028331</v>
      </c>
      <c r="D3022">
        <v>443</v>
      </c>
      <c r="E3022">
        <v>0</v>
      </c>
      <c r="F3022">
        <v>0</v>
      </c>
      <c r="G3022">
        <v>0</v>
      </c>
      <c r="H3022">
        <v>443</v>
      </c>
      <c r="I3022" s="183" t="s">
        <v>4510</v>
      </c>
      <c r="J3022" s="183" t="s">
        <v>12048</v>
      </c>
      <c r="K3022">
        <v>0</v>
      </c>
      <c r="L3022">
        <v>443</v>
      </c>
    </row>
    <row r="3023" spans="1:12">
      <c r="A3023" s="183" t="s">
        <v>4577</v>
      </c>
      <c r="B3023" s="183" t="s">
        <v>4538</v>
      </c>
      <c r="C3023">
        <v>8800269028355</v>
      </c>
      <c r="D3023">
        <v>419</v>
      </c>
      <c r="E3023">
        <v>0</v>
      </c>
      <c r="F3023">
        <v>0</v>
      </c>
      <c r="G3023">
        <v>0</v>
      </c>
      <c r="H3023">
        <v>419</v>
      </c>
      <c r="I3023" s="183" t="s">
        <v>4510</v>
      </c>
      <c r="J3023" s="183" t="s">
        <v>12063</v>
      </c>
      <c r="K3023">
        <v>0</v>
      </c>
      <c r="L3023">
        <v>419</v>
      </c>
    </row>
    <row r="3024" spans="1:12">
      <c r="A3024" s="183" t="s">
        <v>4578</v>
      </c>
      <c r="B3024" s="183" t="s">
        <v>4562</v>
      </c>
      <c r="C3024">
        <v>8800269028393</v>
      </c>
      <c r="D3024">
        <v>416</v>
      </c>
      <c r="E3024">
        <v>0</v>
      </c>
      <c r="F3024">
        <v>0</v>
      </c>
      <c r="G3024">
        <v>0</v>
      </c>
      <c r="H3024">
        <v>416</v>
      </c>
      <c r="I3024" s="183" t="s">
        <v>4510</v>
      </c>
      <c r="J3024" s="183" t="s">
        <v>12081</v>
      </c>
      <c r="K3024">
        <v>0</v>
      </c>
      <c r="L3024">
        <v>416</v>
      </c>
    </row>
    <row r="3025" spans="1:12">
      <c r="A3025" s="183" t="s">
        <v>5959</v>
      </c>
      <c r="B3025" s="183" t="s">
        <v>5893</v>
      </c>
      <c r="C3025">
        <v>8800322956519</v>
      </c>
      <c r="D3025">
        <v>102</v>
      </c>
      <c r="E3025">
        <v>0</v>
      </c>
      <c r="F3025">
        <v>0</v>
      </c>
      <c r="G3025">
        <v>0</v>
      </c>
      <c r="H3025">
        <v>102</v>
      </c>
      <c r="I3025" s="183" t="s">
        <v>5896</v>
      </c>
      <c r="J3025" s="183" t="s">
        <v>12061</v>
      </c>
      <c r="K3025">
        <v>0</v>
      </c>
      <c r="L3025">
        <v>102</v>
      </c>
    </row>
    <row r="3026" spans="1:12">
      <c r="A3026" s="183" t="s">
        <v>5903</v>
      </c>
      <c r="B3026" s="183" t="s">
        <v>5893</v>
      </c>
      <c r="C3026">
        <v>8800322956588</v>
      </c>
      <c r="D3026">
        <v>148</v>
      </c>
      <c r="E3026">
        <v>0</v>
      </c>
      <c r="F3026">
        <v>0</v>
      </c>
      <c r="G3026">
        <v>0</v>
      </c>
      <c r="H3026">
        <v>148</v>
      </c>
      <c r="I3026" s="183" t="s">
        <v>5896</v>
      </c>
      <c r="J3026" s="183" t="s">
        <v>12052</v>
      </c>
      <c r="K3026">
        <v>0</v>
      </c>
      <c r="L3026">
        <v>148</v>
      </c>
    </row>
    <row r="3027" spans="1:12">
      <c r="A3027" s="183" t="s">
        <v>5904</v>
      </c>
      <c r="B3027" s="183" t="s">
        <v>5893</v>
      </c>
      <c r="C3027">
        <v>8800322956670</v>
      </c>
      <c r="D3027">
        <v>132</v>
      </c>
      <c r="E3027">
        <v>0</v>
      </c>
      <c r="F3027">
        <v>0</v>
      </c>
      <c r="G3027">
        <v>0</v>
      </c>
      <c r="H3027">
        <v>132</v>
      </c>
      <c r="I3027" s="183" t="s">
        <v>5896</v>
      </c>
      <c r="J3027" s="183" t="s">
        <v>12063</v>
      </c>
      <c r="K3027">
        <v>0</v>
      </c>
      <c r="L3027">
        <v>132</v>
      </c>
    </row>
    <row r="3028" spans="1:12">
      <c r="A3028" s="183" t="s">
        <v>5905</v>
      </c>
      <c r="B3028" s="183" t="s">
        <v>5893</v>
      </c>
      <c r="C3028">
        <v>8800322956731</v>
      </c>
      <c r="D3028">
        <v>75</v>
      </c>
      <c r="E3028">
        <v>0</v>
      </c>
      <c r="F3028">
        <v>0</v>
      </c>
      <c r="G3028">
        <v>0</v>
      </c>
      <c r="H3028">
        <v>75</v>
      </c>
      <c r="I3028" s="183" t="s">
        <v>5896</v>
      </c>
      <c r="J3028" s="183" t="s">
        <v>12061</v>
      </c>
      <c r="K3028">
        <v>0</v>
      </c>
      <c r="L3028">
        <v>75</v>
      </c>
    </row>
    <row r="3029" spans="1:12">
      <c r="A3029" s="183" t="s">
        <v>5906</v>
      </c>
      <c r="B3029" s="183" t="s">
        <v>5893</v>
      </c>
      <c r="C3029">
        <v>8800322956755</v>
      </c>
      <c r="D3029">
        <v>79</v>
      </c>
      <c r="E3029">
        <v>0</v>
      </c>
      <c r="F3029">
        <v>0</v>
      </c>
      <c r="G3029">
        <v>0</v>
      </c>
      <c r="H3029">
        <v>79</v>
      </c>
      <c r="I3029" s="183" t="s">
        <v>5896</v>
      </c>
      <c r="J3029" s="183" t="s">
        <v>12095</v>
      </c>
      <c r="K3029">
        <v>0</v>
      </c>
      <c r="L3029">
        <v>79</v>
      </c>
    </row>
    <row r="3030" spans="1:12">
      <c r="A3030" s="183" t="s">
        <v>5907</v>
      </c>
      <c r="B3030" s="183" t="s">
        <v>5894</v>
      </c>
      <c r="C3030">
        <v>8800322956786</v>
      </c>
      <c r="D3030">
        <v>99</v>
      </c>
      <c r="E3030">
        <v>0</v>
      </c>
      <c r="F3030">
        <v>0</v>
      </c>
      <c r="G3030">
        <v>0</v>
      </c>
      <c r="H3030">
        <v>99</v>
      </c>
      <c r="I3030" s="183" t="s">
        <v>5899</v>
      </c>
      <c r="J3030" s="183" t="s">
        <v>12050</v>
      </c>
      <c r="K3030">
        <v>0</v>
      </c>
      <c r="L3030">
        <v>99</v>
      </c>
    </row>
    <row r="3031" spans="1:12">
      <c r="A3031" s="183" t="s">
        <v>5908</v>
      </c>
      <c r="B3031" s="183" t="s">
        <v>5894</v>
      </c>
      <c r="C3031">
        <v>8800322956854</v>
      </c>
      <c r="D3031">
        <v>158</v>
      </c>
      <c r="E3031">
        <v>0</v>
      </c>
      <c r="F3031">
        <v>0</v>
      </c>
      <c r="G3031">
        <v>0</v>
      </c>
      <c r="H3031">
        <v>158</v>
      </c>
      <c r="I3031" s="183" t="s">
        <v>5899</v>
      </c>
      <c r="J3031" s="183" t="s">
        <v>12061</v>
      </c>
      <c r="K3031">
        <v>0</v>
      </c>
      <c r="L3031">
        <v>158</v>
      </c>
    </row>
    <row r="3032" spans="1:12">
      <c r="A3032" s="183" t="s">
        <v>5909</v>
      </c>
      <c r="B3032" s="183" t="s">
        <v>5894</v>
      </c>
      <c r="C3032">
        <v>8800322956878</v>
      </c>
      <c r="D3032">
        <v>166</v>
      </c>
      <c r="E3032">
        <v>0</v>
      </c>
      <c r="F3032">
        <v>0</v>
      </c>
      <c r="G3032">
        <v>0</v>
      </c>
      <c r="H3032">
        <v>166</v>
      </c>
      <c r="I3032" s="183" t="s">
        <v>5899</v>
      </c>
      <c r="J3032" s="183" t="s">
        <v>12055</v>
      </c>
      <c r="K3032">
        <v>0</v>
      </c>
      <c r="L3032">
        <v>166</v>
      </c>
    </row>
    <row r="3033" spans="1:12">
      <c r="A3033" s="183" t="s">
        <v>5910</v>
      </c>
      <c r="B3033" s="183" t="s">
        <v>5894</v>
      </c>
      <c r="C3033">
        <v>8800322956915</v>
      </c>
      <c r="D3033">
        <v>180</v>
      </c>
      <c r="E3033">
        <v>0</v>
      </c>
      <c r="F3033">
        <v>0</v>
      </c>
      <c r="G3033">
        <v>0</v>
      </c>
      <c r="H3033">
        <v>180</v>
      </c>
      <c r="I3033" s="183" t="s">
        <v>5899</v>
      </c>
      <c r="J3033" s="183" t="s">
        <v>12050</v>
      </c>
      <c r="K3033">
        <v>0</v>
      </c>
      <c r="L3033">
        <v>180</v>
      </c>
    </row>
    <row r="3034" spans="1:12">
      <c r="A3034" s="183" t="s">
        <v>5911</v>
      </c>
      <c r="B3034" s="183" t="s">
        <v>5894</v>
      </c>
      <c r="C3034">
        <v>8800322956922</v>
      </c>
      <c r="D3034">
        <v>198</v>
      </c>
      <c r="E3034">
        <v>0</v>
      </c>
      <c r="F3034">
        <v>0</v>
      </c>
      <c r="G3034">
        <v>0</v>
      </c>
      <c r="H3034">
        <v>198</v>
      </c>
      <c r="I3034" s="183" t="s">
        <v>5899</v>
      </c>
      <c r="J3034" s="183" t="s">
        <v>12063</v>
      </c>
      <c r="K3034">
        <v>0</v>
      </c>
      <c r="L3034">
        <v>198</v>
      </c>
    </row>
    <row r="3035" spans="1:12">
      <c r="A3035" s="183" t="s">
        <v>5912</v>
      </c>
      <c r="B3035" s="183" t="s">
        <v>5894</v>
      </c>
      <c r="C3035">
        <v>8800322956984</v>
      </c>
      <c r="D3035">
        <v>90</v>
      </c>
      <c r="E3035">
        <v>0</v>
      </c>
      <c r="F3035">
        <v>0</v>
      </c>
      <c r="G3035">
        <v>0</v>
      </c>
      <c r="H3035">
        <v>90</v>
      </c>
      <c r="I3035" s="183" t="s">
        <v>5899</v>
      </c>
      <c r="J3035" s="183" t="s">
        <v>12052</v>
      </c>
      <c r="K3035">
        <v>0</v>
      </c>
      <c r="L3035">
        <v>90</v>
      </c>
    </row>
    <row r="3036" spans="1:12">
      <c r="A3036" s="183" t="s">
        <v>4658</v>
      </c>
      <c r="B3036" s="183" t="s">
        <v>4659</v>
      </c>
      <c r="C3036">
        <v>90180226</v>
      </c>
      <c r="D3036">
        <v>391</v>
      </c>
      <c r="E3036">
        <v>0</v>
      </c>
      <c r="F3036">
        <v>0</v>
      </c>
      <c r="G3036">
        <v>0</v>
      </c>
      <c r="H3036">
        <v>391</v>
      </c>
      <c r="I3036" s="183" t="s">
        <v>1020</v>
      </c>
      <c r="J3036" s="183" t="s">
        <v>12092</v>
      </c>
      <c r="K3036">
        <v>0</v>
      </c>
      <c r="L3036">
        <v>391</v>
      </c>
    </row>
    <row r="3037" spans="1:12">
      <c r="A3037" s="183" t="s">
        <v>5738</v>
      </c>
      <c r="B3037" s="183" t="s">
        <v>8644</v>
      </c>
      <c r="C3037">
        <v>8800322942963</v>
      </c>
      <c r="D3037">
        <v>599</v>
      </c>
      <c r="E3037">
        <v>0</v>
      </c>
      <c r="F3037">
        <v>0</v>
      </c>
      <c r="G3037">
        <v>0</v>
      </c>
      <c r="H3037">
        <v>599</v>
      </c>
      <c r="I3037" s="183" t="s">
        <v>5710</v>
      </c>
      <c r="J3037" s="183" t="s">
        <v>12095</v>
      </c>
      <c r="K3037">
        <v>0</v>
      </c>
      <c r="L3037">
        <v>599</v>
      </c>
    </row>
    <row r="3038" spans="1:12">
      <c r="A3038" s="183" t="s">
        <v>5739</v>
      </c>
      <c r="B3038" s="183" t="s">
        <v>8644</v>
      </c>
      <c r="C3038">
        <v>8800322943014</v>
      </c>
      <c r="D3038">
        <v>605</v>
      </c>
      <c r="E3038">
        <v>0</v>
      </c>
      <c r="F3038">
        <v>1</v>
      </c>
      <c r="G3038">
        <v>0</v>
      </c>
      <c r="H3038">
        <v>606</v>
      </c>
      <c r="I3038" s="183" t="s">
        <v>5710</v>
      </c>
      <c r="J3038" s="183" t="s">
        <v>12095</v>
      </c>
      <c r="K3038">
        <v>0</v>
      </c>
      <c r="L3038">
        <v>605</v>
      </c>
    </row>
    <row r="3039" spans="1:12">
      <c r="A3039" s="183" t="s">
        <v>5740</v>
      </c>
      <c r="B3039" s="183" t="s">
        <v>8644</v>
      </c>
      <c r="C3039">
        <v>8800322943038</v>
      </c>
      <c r="D3039">
        <v>766</v>
      </c>
      <c r="E3039">
        <v>0</v>
      </c>
      <c r="F3039">
        <v>1</v>
      </c>
      <c r="G3039">
        <v>0</v>
      </c>
      <c r="H3039">
        <v>767</v>
      </c>
      <c r="I3039" s="183" t="s">
        <v>5710</v>
      </c>
      <c r="J3039" s="183" t="s">
        <v>12063</v>
      </c>
      <c r="K3039">
        <v>0</v>
      </c>
      <c r="L3039">
        <v>766</v>
      </c>
    </row>
    <row r="3040" spans="1:12">
      <c r="A3040" s="183" t="s">
        <v>5741</v>
      </c>
      <c r="B3040" s="183" t="s">
        <v>8644</v>
      </c>
      <c r="C3040">
        <v>8800322943083</v>
      </c>
      <c r="D3040">
        <v>585</v>
      </c>
      <c r="E3040">
        <v>0</v>
      </c>
      <c r="F3040">
        <v>0</v>
      </c>
      <c r="G3040">
        <v>0</v>
      </c>
      <c r="H3040">
        <v>585</v>
      </c>
      <c r="I3040" s="183" t="s">
        <v>5710</v>
      </c>
      <c r="J3040" s="183" t="s">
        <v>12095</v>
      </c>
      <c r="K3040">
        <v>0</v>
      </c>
      <c r="L3040">
        <v>585</v>
      </c>
    </row>
    <row r="3041" spans="1:12">
      <c r="A3041" s="183" t="s">
        <v>5852</v>
      </c>
      <c r="B3041" s="183" t="s">
        <v>8644</v>
      </c>
      <c r="C3041">
        <v>8800322943106</v>
      </c>
      <c r="D3041">
        <v>613</v>
      </c>
      <c r="E3041">
        <v>0</v>
      </c>
      <c r="F3041">
        <v>0</v>
      </c>
      <c r="G3041">
        <v>0</v>
      </c>
      <c r="H3041">
        <v>613</v>
      </c>
      <c r="I3041" s="183" t="s">
        <v>5710</v>
      </c>
      <c r="J3041" s="183" t="s">
        <v>12055</v>
      </c>
      <c r="K3041">
        <v>0</v>
      </c>
      <c r="L3041">
        <v>613</v>
      </c>
    </row>
    <row r="3042" spans="1:12">
      <c r="A3042" s="183" t="s">
        <v>5742</v>
      </c>
      <c r="B3042" s="183" t="s">
        <v>8646</v>
      </c>
      <c r="C3042">
        <v>8800322943250</v>
      </c>
      <c r="D3042">
        <v>631</v>
      </c>
      <c r="E3042">
        <v>0</v>
      </c>
      <c r="F3042">
        <v>0</v>
      </c>
      <c r="G3042">
        <v>0</v>
      </c>
      <c r="H3042">
        <v>631</v>
      </c>
      <c r="I3042" s="183" t="s">
        <v>5720</v>
      </c>
      <c r="J3042" s="183" t="s">
        <v>12095</v>
      </c>
      <c r="K3042">
        <v>0</v>
      </c>
      <c r="L3042">
        <v>631</v>
      </c>
    </row>
    <row r="3043" spans="1:12">
      <c r="A3043" s="183" t="s">
        <v>8860</v>
      </c>
      <c r="B3043" s="183" t="s">
        <v>8646</v>
      </c>
      <c r="C3043">
        <v>8800322943311</v>
      </c>
      <c r="D3043">
        <v>307</v>
      </c>
      <c r="E3043">
        <v>0</v>
      </c>
      <c r="F3043">
        <v>0</v>
      </c>
      <c r="G3043">
        <v>0</v>
      </c>
      <c r="H3043">
        <v>307</v>
      </c>
      <c r="I3043" s="183" t="s">
        <v>5720</v>
      </c>
      <c r="J3043" s="183" t="s">
        <v>12048</v>
      </c>
      <c r="K3043">
        <v>0</v>
      </c>
      <c r="L3043">
        <v>307</v>
      </c>
    </row>
    <row r="3044" spans="1:12">
      <c r="A3044" s="183" t="s">
        <v>5743</v>
      </c>
      <c r="B3044" s="183" t="s">
        <v>8646</v>
      </c>
      <c r="C3044">
        <v>8800322943342</v>
      </c>
      <c r="D3044">
        <v>556</v>
      </c>
      <c r="E3044">
        <v>0</v>
      </c>
      <c r="F3044">
        <v>0</v>
      </c>
      <c r="G3044">
        <v>0</v>
      </c>
      <c r="H3044">
        <v>556</v>
      </c>
      <c r="I3044" s="183" t="s">
        <v>5720</v>
      </c>
      <c r="J3044" s="183" t="s">
        <v>12061</v>
      </c>
      <c r="K3044">
        <v>0</v>
      </c>
      <c r="L3044">
        <v>556</v>
      </c>
    </row>
    <row r="3045" spans="1:12">
      <c r="A3045" s="183" t="s">
        <v>5744</v>
      </c>
      <c r="B3045" s="183" t="s">
        <v>8645</v>
      </c>
      <c r="C3045">
        <v>8800322943427</v>
      </c>
      <c r="D3045">
        <v>512</v>
      </c>
      <c r="E3045">
        <v>0</v>
      </c>
      <c r="F3045">
        <v>0</v>
      </c>
      <c r="G3045">
        <v>0</v>
      </c>
      <c r="H3045">
        <v>512</v>
      </c>
      <c r="I3045" s="183" t="s">
        <v>5712</v>
      </c>
      <c r="J3045" s="183" t="s">
        <v>12048</v>
      </c>
      <c r="K3045">
        <v>0</v>
      </c>
      <c r="L3045">
        <v>512</v>
      </c>
    </row>
    <row r="3046" spans="1:12">
      <c r="A3046" s="183" t="s">
        <v>5853</v>
      </c>
      <c r="B3046" s="183" t="s">
        <v>8645</v>
      </c>
      <c r="C3046">
        <v>8800322943441</v>
      </c>
      <c r="D3046">
        <v>654</v>
      </c>
      <c r="E3046">
        <v>0</v>
      </c>
      <c r="F3046">
        <v>0</v>
      </c>
      <c r="G3046">
        <v>0</v>
      </c>
      <c r="H3046">
        <v>654</v>
      </c>
      <c r="I3046" s="183" t="s">
        <v>5712</v>
      </c>
      <c r="J3046" s="183" t="s">
        <v>12095</v>
      </c>
      <c r="K3046">
        <v>0</v>
      </c>
      <c r="L3046">
        <v>654</v>
      </c>
    </row>
    <row r="3047" spans="1:12">
      <c r="A3047" s="183" t="s">
        <v>6328</v>
      </c>
      <c r="B3047" s="183" t="s">
        <v>8645</v>
      </c>
      <c r="C3047">
        <v>8800322943472</v>
      </c>
      <c r="D3047">
        <v>675</v>
      </c>
      <c r="E3047">
        <v>0</v>
      </c>
      <c r="F3047">
        <v>0</v>
      </c>
      <c r="G3047">
        <v>0</v>
      </c>
      <c r="H3047">
        <v>675</v>
      </c>
      <c r="I3047" s="183" t="s">
        <v>5712</v>
      </c>
      <c r="J3047" s="183" t="s">
        <v>12050</v>
      </c>
      <c r="K3047">
        <v>0</v>
      </c>
      <c r="L3047">
        <v>675</v>
      </c>
    </row>
    <row r="3048" spans="1:12">
      <c r="A3048" s="183" t="s">
        <v>5745</v>
      </c>
      <c r="B3048" s="183" t="s">
        <v>8645</v>
      </c>
      <c r="C3048">
        <v>8800322943502</v>
      </c>
      <c r="D3048">
        <v>139</v>
      </c>
      <c r="E3048">
        <v>0</v>
      </c>
      <c r="F3048">
        <v>0</v>
      </c>
      <c r="G3048">
        <v>0</v>
      </c>
      <c r="H3048">
        <v>139</v>
      </c>
      <c r="I3048" s="183" t="s">
        <v>5712</v>
      </c>
      <c r="J3048" s="183" t="s">
        <v>12095</v>
      </c>
      <c r="K3048">
        <v>0</v>
      </c>
      <c r="L3048">
        <v>139</v>
      </c>
    </row>
    <row r="3049" spans="1:12">
      <c r="A3049" s="183" t="s">
        <v>5854</v>
      </c>
      <c r="B3049" s="183" t="s">
        <v>8645</v>
      </c>
      <c r="C3049">
        <v>8800322943564</v>
      </c>
      <c r="D3049">
        <v>582</v>
      </c>
      <c r="E3049">
        <v>0</v>
      </c>
      <c r="F3049">
        <v>0</v>
      </c>
      <c r="G3049">
        <v>0</v>
      </c>
      <c r="H3049">
        <v>582</v>
      </c>
      <c r="I3049" s="183" t="s">
        <v>5712</v>
      </c>
      <c r="J3049" s="183" t="s">
        <v>12066</v>
      </c>
      <c r="K3049">
        <v>0</v>
      </c>
      <c r="L3049">
        <v>582</v>
      </c>
    </row>
    <row r="3050" spans="1:12">
      <c r="A3050" s="183" t="s">
        <v>5746</v>
      </c>
      <c r="B3050" s="183" t="s">
        <v>8645</v>
      </c>
      <c r="C3050">
        <v>8800322943588</v>
      </c>
      <c r="D3050">
        <v>620</v>
      </c>
      <c r="E3050">
        <v>0</v>
      </c>
      <c r="F3050">
        <v>0</v>
      </c>
      <c r="G3050">
        <v>0</v>
      </c>
      <c r="H3050">
        <v>620</v>
      </c>
      <c r="I3050" s="183" t="s">
        <v>5712</v>
      </c>
      <c r="J3050" s="183" t="s">
        <v>12066</v>
      </c>
      <c r="K3050">
        <v>0</v>
      </c>
      <c r="L3050">
        <v>620</v>
      </c>
    </row>
    <row r="3051" spans="1:12">
      <c r="A3051" s="183" t="s">
        <v>5747</v>
      </c>
      <c r="B3051" s="183" t="s">
        <v>8645</v>
      </c>
      <c r="C3051">
        <v>8800322943601</v>
      </c>
      <c r="D3051">
        <v>355</v>
      </c>
      <c r="E3051">
        <v>0</v>
      </c>
      <c r="F3051">
        <v>0</v>
      </c>
      <c r="G3051">
        <v>0</v>
      </c>
      <c r="H3051">
        <v>355</v>
      </c>
      <c r="I3051" s="183" t="s">
        <v>5712</v>
      </c>
      <c r="J3051" s="183" t="s">
        <v>12057</v>
      </c>
      <c r="K3051">
        <v>0</v>
      </c>
      <c r="L3051">
        <v>355</v>
      </c>
    </row>
    <row r="3052" spans="1:12">
      <c r="A3052" s="183" t="s">
        <v>5859</v>
      </c>
      <c r="B3052" s="183" t="s">
        <v>8645</v>
      </c>
      <c r="C3052">
        <v>8800322943649</v>
      </c>
      <c r="D3052">
        <v>629</v>
      </c>
      <c r="E3052">
        <v>0</v>
      </c>
      <c r="F3052">
        <v>0</v>
      </c>
      <c r="G3052">
        <v>0</v>
      </c>
      <c r="H3052">
        <v>629</v>
      </c>
      <c r="I3052" s="183" t="s">
        <v>5712</v>
      </c>
      <c r="J3052" s="183" t="s">
        <v>12057</v>
      </c>
      <c r="K3052">
        <v>0</v>
      </c>
      <c r="L3052">
        <v>629</v>
      </c>
    </row>
    <row r="3053" spans="1:12">
      <c r="A3053" s="183" t="s">
        <v>6359</v>
      </c>
      <c r="B3053" s="183" t="s">
        <v>6360</v>
      </c>
      <c r="C3053">
        <v>80172214</v>
      </c>
      <c r="D3053">
        <v>361</v>
      </c>
      <c r="E3053">
        <v>0</v>
      </c>
      <c r="F3053">
        <v>0</v>
      </c>
      <c r="G3053">
        <v>0</v>
      </c>
      <c r="H3053">
        <v>361</v>
      </c>
      <c r="I3053" s="183" t="s">
        <v>1058</v>
      </c>
      <c r="J3053" s="183" t="s">
        <v>12087</v>
      </c>
      <c r="K3053">
        <v>0</v>
      </c>
      <c r="L3053">
        <v>361</v>
      </c>
    </row>
    <row r="3054" spans="1:12">
      <c r="A3054" s="183" t="s">
        <v>4147</v>
      </c>
      <c r="B3054" s="183" t="s">
        <v>4148</v>
      </c>
      <c r="C3054">
        <v>80172232</v>
      </c>
      <c r="D3054">
        <v>609</v>
      </c>
      <c r="E3054">
        <v>0</v>
      </c>
      <c r="F3054">
        <v>0</v>
      </c>
      <c r="G3054">
        <v>0</v>
      </c>
      <c r="H3054">
        <v>609</v>
      </c>
      <c r="I3054" s="183" t="s">
        <v>1058</v>
      </c>
      <c r="J3054" s="183" t="s">
        <v>12059</v>
      </c>
      <c r="K3054">
        <v>0</v>
      </c>
      <c r="L3054">
        <v>609</v>
      </c>
    </row>
    <row r="3055" spans="1:12">
      <c r="A3055" s="183" t="s">
        <v>6401</v>
      </c>
      <c r="B3055" s="183" t="s">
        <v>6338</v>
      </c>
      <c r="C3055">
        <v>8800358433527</v>
      </c>
      <c r="D3055" s="501">
        <v>2114</v>
      </c>
      <c r="E3055">
        <v>0</v>
      </c>
      <c r="F3055">
        <v>0</v>
      </c>
      <c r="G3055">
        <v>0</v>
      </c>
      <c r="H3055" s="501">
        <v>2114</v>
      </c>
      <c r="I3055" s="183" t="s">
        <v>6400</v>
      </c>
      <c r="J3055" s="183" t="s">
        <v>12095</v>
      </c>
      <c r="K3055">
        <v>0</v>
      </c>
      <c r="L3055" s="501">
        <v>2114</v>
      </c>
    </row>
    <row r="3056" spans="1:12">
      <c r="A3056" s="183" t="s">
        <v>6411</v>
      </c>
      <c r="B3056" s="183" t="s">
        <v>6338</v>
      </c>
      <c r="C3056">
        <v>8800358433558</v>
      </c>
      <c r="D3056">
        <v>319</v>
      </c>
      <c r="E3056">
        <v>0</v>
      </c>
      <c r="F3056">
        <v>0</v>
      </c>
      <c r="G3056">
        <v>0</v>
      </c>
      <c r="H3056">
        <v>319</v>
      </c>
      <c r="I3056" s="183" t="s">
        <v>6400</v>
      </c>
      <c r="J3056" s="183" t="s">
        <v>12063</v>
      </c>
      <c r="K3056">
        <v>0</v>
      </c>
      <c r="L3056">
        <v>319</v>
      </c>
    </row>
    <row r="3057" spans="1:12">
      <c r="A3057" s="183" t="s">
        <v>7543</v>
      </c>
      <c r="B3057" s="183" t="s">
        <v>6338</v>
      </c>
      <c r="C3057">
        <v>8800358433626</v>
      </c>
      <c r="D3057">
        <v>391</v>
      </c>
      <c r="E3057">
        <v>0</v>
      </c>
      <c r="F3057">
        <v>0</v>
      </c>
      <c r="G3057">
        <v>0</v>
      </c>
      <c r="H3057">
        <v>391</v>
      </c>
      <c r="I3057" s="183" t="s">
        <v>6400</v>
      </c>
      <c r="J3057" s="183" t="s">
        <v>12063</v>
      </c>
      <c r="K3057">
        <v>0</v>
      </c>
      <c r="L3057">
        <v>391</v>
      </c>
    </row>
    <row r="3058" spans="1:12">
      <c r="A3058" s="183" t="s">
        <v>6440</v>
      </c>
      <c r="B3058" s="183" t="s">
        <v>6338</v>
      </c>
      <c r="C3058">
        <v>8800358433732</v>
      </c>
      <c r="D3058">
        <v>742</v>
      </c>
      <c r="E3058">
        <v>0</v>
      </c>
      <c r="F3058">
        <v>0</v>
      </c>
      <c r="G3058">
        <v>0</v>
      </c>
      <c r="H3058">
        <v>742</v>
      </c>
      <c r="I3058" s="183" t="s">
        <v>6400</v>
      </c>
      <c r="J3058" s="183" t="s">
        <v>12061</v>
      </c>
      <c r="K3058">
        <v>0</v>
      </c>
      <c r="L3058">
        <v>742</v>
      </c>
    </row>
    <row r="3059" spans="1:12">
      <c r="A3059" s="183" t="s">
        <v>6470</v>
      </c>
      <c r="B3059" s="183" t="s">
        <v>1029</v>
      </c>
      <c r="C3059">
        <v>8800358433862</v>
      </c>
      <c r="D3059">
        <v>428</v>
      </c>
      <c r="E3059">
        <v>0</v>
      </c>
      <c r="F3059">
        <v>0</v>
      </c>
      <c r="G3059">
        <v>0</v>
      </c>
      <c r="H3059">
        <v>428</v>
      </c>
      <c r="I3059" s="183" t="s">
        <v>6453</v>
      </c>
      <c r="J3059" s="183" t="s">
        <v>12055</v>
      </c>
      <c r="K3059">
        <v>0</v>
      </c>
      <c r="L3059">
        <v>428</v>
      </c>
    </row>
    <row r="3060" spans="1:12">
      <c r="A3060" s="183" t="s">
        <v>6481</v>
      </c>
      <c r="B3060" s="183" t="s">
        <v>1029</v>
      </c>
      <c r="C3060">
        <v>8800358433879</v>
      </c>
      <c r="D3060">
        <v>469</v>
      </c>
      <c r="E3060">
        <v>0</v>
      </c>
      <c r="F3060">
        <v>0</v>
      </c>
      <c r="G3060">
        <v>0</v>
      </c>
      <c r="H3060">
        <v>469</v>
      </c>
      <c r="I3060" s="183" t="s">
        <v>6453</v>
      </c>
      <c r="J3060" s="183" t="s">
        <v>12066</v>
      </c>
      <c r="K3060">
        <v>0</v>
      </c>
      <c r="L3060">
        <v>469</v>
      </c>
    </row>
    <row r="3061" spans="1:12">
      <c r="A3061" s="183" t="s">
        <v>6482</v>
      </c>
      <c r="B3061" s="183" t="s">
        <v>1029</v>
      </c>
      <c r="C3061">
        <v>8800358433930</v>
      </c>
      <c r="D3061">
        <v>578</v>
      </c>
      <c r="E3061">
        <v>0</v>
      </c>
      <c r="F3061">
        <v>0</v>
      </c>
      <c r="G3061">
        <v>0</v>
      </c>
      <c r="H3061">
        <v>578</v>
      </c>
      <c r="I3061" s="183" t="s">
        <v>6453</v>
      </c>
      <c r="J3061" s="183" t="s">
        <v>12063</v>
      </c>
      <c r="K3061">
        <v>0</v>
      </c>
      <c r="L3061">
        <v>578</v>
      </c>
    </row>
    <row r="3062" spans="1:12">
      <c r="A3062" s="183" t="s">
        <v>7542</v>
      </c>
      <c r="B3062" s="183" t="s">
        <v>1029</v>
      </c>
      <c r="C3062">
        <v>8800358433985</v>
      </c>
      <c r="D3062">
        <v>702</v>
      </c>
      <c r="E3062">
        <v>0</v>
      </c>
      <c r="F3062">
        <v>0</v>
      </c>
      <c r="G3062">
        <v>0</v>
      </c>
      <c r="H3062">
        <v>702</v>
      </c>
      <c r="I3062" s="183" t="s">
        <v>6453</v>
      </c>
      <c r="J3062" s="183" t="s">
        <v>12095</v>
      </c>
      <c r="K3062">
        <v>0</v>
      </c>
      <c r="L3062">
        <v>702</v>
      </c>
    </row>
    <row r="3063" spans="1:12">
      <c r="A3063" s="183" t="s">
        <v>6454</v>
      </c>
      <c r="B3063" s="183" t="s">
        <v>1029</v>
      </c>
      <c r="C3063">
        <v>8800358434050</v>
      </c>
      <c r="D3063">
        <v>147</v>
      </c>
      <c r="E3063">
        <v>0</v>
      </c>
      <c r="F3063">
        <v>0</v>
      </c>
      <c r="G3063">
        <v>0</v>
      </c>
      <c r="H3063">
        <v>147</v>
      </c>
      <c r="I3063" s="183" t="s">
        <v>6453</v>
      </c>
      <c r="J3063" s="183" t="s">
        <v>12055</v>
      </c>
      <c r="K3063">
        <v>0</v>
      </c>
      <c r="L3063">
        <v>147</v>
      </c>
    </row>
    <row r="3064" spans="1:12">
      <c r="A3064" s="183" t="s">
        <v>6449</v>
      </c>
      <c r="B3064" s="183" t="s">
        <v>1026</v>
      </c>
      <c r="C3064">
        <v>8800358434340</v>
      </c>
      <c r="D3064">
        <v>222</v>
      </c>
      <c r="E3064">
        <v>0</v>
      </c>
      <c r="F3064">
        <v>0</v>
      </c>
      <c r="G3064">
        <v>0</v>
      </c>
      <c r="H3064">
        <v>222</v>
      </c>
      <c r="I3064" s="183" t="s">
        <v>6450</v>
      </c>
      <c r="J3064" s="183" t="s">
        <v>12061</v>
      </c>
      <c r="K3064">
        <v>0</v>
      </c>
      <c r="L3064">
        <v>222</v>
      </c>
    </row>
    <row r="3065" spans="1:12">
      <c r="A3065" s="183" t="s">
        <v>6477</v>
      </c>
      <c r="B3065" s="183" t="s">
        <v>1026</v>
      </c>
      <c r="C3065">
        <v>8800358434371</v>
      </c>
      <c r="D3065">
        <v>578</v>
      </c>
      <c r="E3065">
        <v>0</v>
      </c>
      <c r="F3065">
        <v>0</v>
      </c>
      <c r="G3065">
        <v>0</v>
      </c>
      <c r="H3065">
        <v>578</v>
      </c>
      <c r="I3065" s="183" t="s">
        <v>6450</v>
      </c>
      <c r="J3065" s="183" t="s">
        <v>12050</v>
      </c>
      <c r="K3065">
        <v>0</v>
      </c>
      <c r="L3065">
        <v>578</v>
      </c>
    </row>
    <row r="3066" spans="1:12">
      <c r="A3066" s="183" t="s">
        <v>6631</v>
      </c>
      <c r="B3066" s="183" t="s">
        <v>1026</v>
      </c>
      <c r="C3066">
        <v>8800358434395</v>
      </c>
      <c r="D3066">
        <v>132</v>
      </c>
      <c r="E3066">
        <v>0</v>
      </c>
      <c r="F3066">
        <v>0</v>
      </c>
      <c r="G3066">
        <v>0</v>
      </c>
      <c r="H3066">
        <v>132</v>
      </c>
      <c r="I3066" s="183" t="s">
        <v>6450</v>
      </c>
      <c r="J3066" s="183" t="s">
        <v>12057</v>
      </c>
      <c r="K3066">
        <v>0</v>
      </c>
      <c r="L3066">
        <v>132</v>
      </c>
    </row>
    <row r="3067" spans="1:12">
      <c r="A3067" s="183" t="s">
        <v>408</v>
      </c>
      <c r="B3067" s="183" t="s">
        <v>1182</v>
      </c>
      <c r="C3067">
        <v>15860209</v>
      </c>
      <c r="D3067">
        <v>27</v>
      </c>
      <c r="E3067">
        <v>0</v>
      </c>
      <c r="F3067" s="501">
        <v>2645</v>
      </c>
      <c r="G3067">
        <v>0</v>
      </c>
      <c r="H3067" s="501">
        <v>2672</v>
      </c>
      <c r="I3067" s="183" t="s">
        <v>1183</v>
      </c>
      <c r="J3067" s="183" t="s">
        <v>12081</v>
      </c>
      <c r="K3067">
        <v>0</v>
      </c>
      <c r="L3067">
        <v>27</v>
      </c>
    </row>
    <row r="3068" spans="1:12">
      <c r="A3068" s="183" t="s">
        <v>410</v>
      </c>
      <c r="B3068" s="183" t="s">
        <v>1182</v>
      </c>
      <c r="C3068">
        <v>15860211</v>
      </c>
      <c r="D3068">
        <v>0</v>
      </c>
      <c r="E3068">
        <v>0</v>
      </c>
      <c r="F3068" s="501">
        <v>2898</v>
      </c>
      <c r="G3068">
        <v>0</v>
      </c>
      <c r="H3068" s="501">
        <v>2898</v>
      </c>
      <c r="I3068" s="183" t="s">
        <v>1183</v>
      </c>
      <c r="J3068" s="183" t="s">
        <v>12081</v>
      </c>
      <c r="K3068">
        <v>0</v>
      </c>
      <c r="L3068">
        <v>0</v>
      </c>
    </row>
    <row r="3069" spans="1:12">
      <c r="A3069" s="183" t="s">
        <v>423</v>
      </c>
      <c r="B3069" s="183" t="s">
        <v>1182</v>
      </c>
      <c r="C3069">
        <v>15860224</v>
      </c>
      <c r="D3069">
        <v>0</v>
      </c>
      <c r="E3069">
        <v>0</v>
      </c>
      <c r="F3069" s="501">
        <v>1504</v>
      </c>
      <c r="G3069">
        <v>0</v>
      </c>
      <c r="H3069" s="501">
        <v>1504</v>
      </c>
      <c r="I3069" s="183" t="s">
        <v>1183</v>
      </c>
      <c r="J3069" s="183" t="s">
        <v>12092</v>
      </c>
      <c r="K3069">
        <v>0</v>
      </c>
      <c r="L3069">
        <v>0</v>
      </c>
    </row>
    <row r="3070" spans="1:12">
      <c r="A3070" s="183" t="s">
        <v>426</v>
      </c>
      <c r="B3070" s="183" t="s">
        <v>1182</v>
      </c>
      <c r="C3070">
        <v>15860230</v>
      </c>
      <c r="D3070">
        <v>201</v>
      </c>
      <c r="E3070">
        <v>0</v>
      </c>
      <c r="F3070">
        <v>159</v>
      </c>
      <c r="G3070">
        <v>0</v>
      </c>
      <c r="H3070">
        <v>360</v>
      </c>
      <c r="I3070" s="183" t="s">
        <v>1183</v>
      </c>
      <c r="J3070" s="183" t="s">
        <v>12067</v>
      </c>
      <c r="K3070">
        <v>0</v>
      </c>
      <c r="L3070">
        <v>201</v>
      </c>
    </row>
    <row r="3071" spans="1:12">
      <c r="A3071" s="183" t="s">
        <v>3930</v>
      </c>
      <c r="B3071" s="183" t="s">
        <v>1010</v>
      </c>
      <c r="C3071">
        <v>15870205</v>
      </c>
      <c r="D3071">
        <v>0</v>
      </c>
      <c r="E3071">
        <v>0</v>
      </c>
      <c r="F3071">
        <v>257</v>
      </c>
      <c r="G3071">
        <v>0</v>
      </c>
      <c r="H3071">
        <v>257</v>
      </c>
      <c r="I3071" s="183" t="s">
        <v>1011</v>
      </c>
      <c r="J3071" s="183" t="s">
        <v>12060</v>
      </c>
      <c r="K3071">
        <v>0</v>
      </c>
      <c r="L3071">
        <v>0</v>
      </c>
    </row>
    <row r="3072" spans="1:12">
      <c r="A3072" s="183" t="s">
        <v>3929</v>
      </c>
      <c r="B3072" s="183" t="s">
        <v>1010</v>
      </c>
      <c r="C3072">
        <v>15870211</v>
      </c>
      <c r="D3072">
        <v>292</v>
      </c>
      <c r="E3072">
        <v>0</v>
      </c>
      <c r="F3072">
        <v>853</v>
      </c>
      <c r="G3072">
        <v>0</v>
      </c>
      <c r="H3072" s="501">
        <v>1145</v>
      </c>
      <c r="I3072" s="183" t="s">
        <v>1011</v>
      </c>
      <c r="J3072" s="183" t="s">
        <v>12092</v>
      </c>
      <c r="K3072">
        <v>0</v>
      </c>
      <c r="L3072">
        <v>292</v>
      </c>
    </row>
    <row r="3073" spans="1:12">
      <c r="A3073" s="183" t="s">
        <v>3925</v>
      </c>
      <c r="B3073" s="183" t="s">
        <v>1010</v>
      </c>
      <c r="C3073">
        <v>15870215</v>
      </c>
      <c r="D3073">
        <v>0</v>
      </c>
      <c r="E3073">
        <v>0</v>
      </c>
      <c r="F3073">
        <v>593</v>
      </c>
      <c r="G3073">
        <v>0</v>
      </c>
      <c r="H3073">
        <v>593</v>
      </c>
      <c r="I3073" s="183" t="s">
        <v>1011</v>
      </c>
      <c r="J3073" s="183" t="s">
        <v>12053</v>
      </c>
      <c r="K3073">
        <v>0</v>
      </c>
      <c r="L3073">
        <v>0</v>
      </c>
    </row>
    <row r="3074" spans="1:12">
      <c r="A3074" s="183" t="s">
        <v>446</v>
      </c>
      <c r="B3074" s="183" t="s">
        <v>1165</v>
      </c>
      <c r="C3074">
        <v>15880205</v>
      </c>
      <c r="D3074">
        <v>278</v>
      </c>
      <c r="E3074">
        <v>0</v>
      </c>
      <c r="F3074">
        <v>711</v>
      </c>
      <c r="G3074">
        <v>0</v>
      </c>
      <c r="H3074">
        <v>989</v>
      </c>
      <c r="I3074" s="183" t="s">
        <v>1166</v>
      </c>
      <c r="J3074" s="183" t="s">
        <v>12054</v>
      </c>
      <c r="K3074">
        <v>0</v>
      </c>
      <c r="L3074">
        <v>278</v>
      </c>
    </row>
    <row r="3075" spans="1:12">
      <c r="A3075" s="183" t="s">
        <v>4854</v>
      </c>
      <c r="B3075" s="183" t="s">
        <v>1165</v>
      </c>
      <c r="C3075">
        <v>15880214</v>
      </c>
      <c r="D3075">
        <v>235</v>
      </c>
      <c r="E3075">
        <v>0</v>
      </c>
      <c r="F3075" s="501">
        <v>1180</v>
      </c>
      <c r="G3075">
        <v>0</v>
      </c>
      <c r="H3075" s="501">
        <v>1415</v>
      </c>
      <c r="I3075" s="183" t="s">
        <v>1166</v>
      </c>
      <c r="J3075" s="183" t="s">
        <v>12094</v>
      </c>
      <c r="K3075">
        <v>0</v>
      </c>
      <c r="L3075">
        <v>235</v>
      </c>
    </row>
    <row r="3076" spans="1:12">
      <c r="A3076" s="183" t="s">
        <v>457</v>
      </c>
      <c r="B3076" s="183" t="s">
        <v>1165</v>
      </c>
      <c r="C3076">
        <v>15880217</v>
      </c>
      <c r="D3076">
        <v>18</v>
      </c>
      <c r="E3076">
        <v>0</v>
      </c>
      <c r="F3076">
        <v>522</v>
      </c>
      <c r="G3076">
        <v>0</v>
      </c>
      <c r="H3076">
        <v>540</v>
      </c>
      <c r="I3076" s="183" t="s">
        <v>1166</v>
      </c>
      <c r="J3076" s="183" t="s">
        <v>12095</v>
      </c>
      <c r="K3076">
        <v>0</v>
      </c>
      <c r="L3076">
        <v>18</v>
      </c>
    </row>
    <row r="3077" spans="1:12">
      <c r="A3077" s="183" t="s">
        <v>469</v>
      </c>
      <c r="B3077" s="183" t="s">
        <v>1165</v>
      </c>
      <c r="C3077">
        <v>15880234</v>
      </c>
      <c r="D3077">
        <v>252</v>
      </c>
      <c r="E3077">
        <v>0</v>
      </c>
      <c r="F3077">
        <v>255</v>
      </c>
      <c r="G3077">
        <v>0</v>
      </c>
      <c r="H3077">
        <v>507</v>
      </c>
      <c r="I3077" s="183" t="s">
        <v>1166</v>
      </c>
      <c r="J3077" s="183" t="s">
        <v>12063</v>
      </c>
      <c r="K3077">
        <v>0</v>
      </c>
      <c r="L3077">
        <v>252</v>
      </c>
    </row>
    <row r="3078" spans="1:12">
      <c r="A3078" s="183" t="s">
        <v>4853</v>
      </c>
      <c r="B3078" s="183" t="s">
        <v>1158</v>
      </c>
      <c r="C3078">
        <v>16920213</v>
      </c>
      <c r="D3078">
        <v>152</v>
      </c>
      <c r="E3078">
        <v>0</v>
      </c>
      <c r="F3078">
        <v>0</v>
      </c>
      <c r="G3078">
        <v>0</v>
      </c>
      <c r="H3078">
        <v>152</v>
      </c>
      <c r="I3078" s="183" t="s">
        <v>996</v>
      </c>
      <c r="J3078" s="183" t="s">
        <v>12092</v>
      </c>
      <c r="K3078">
        <v>0</v>
      </c>
      <c r="L3078">
        <v>152</v>
      </c>
    </row>
    <row r="3079" spans="1:12">
      <c r="A3079" s="183" t="s">
        <v>511</v>
      </c>
      <c r="B3079" s="183" t="s">
        <v>1018</v>
      </c>
      <c r="C3079">
        <v>30010222</v>
      </c>
      <c r="D3079">
        <v>143</v>
      </c>
      <c r="E3079">
        <v>0</v>
      </c>
      <c r="F3079">
        <v>3</v>
      </c>
      <c r="G3079">
        <v>0</v>
      </c>
      <c r="H3079">
        <v>146</v>
      </c>
      <c r="I3079" s="183" t="s">
        <v>1019</v>
      </c>
      <c r="J3079" s="183" t="s">
        <v>12092</v>
      </c>
      <c r="K3079">
        <v>0</v>
      </c>
      <c r="L3079">
        <v>143</v>
      </c>
    </row>
    <row r="3080" spans="1:12">
      <c r="A3080" s="183" t="s">
        <v>519</v>
      </c>
      <c r="B3080" s="183" t="s">
        <v>991</v>
      </c>
      <c r="C3080">
        <v>30020204</v>
      </c>
      <c r="D3080">
        <v>34</v>
      </c>
      <c r="E3080">
        <v>0</v>
      </c>
      <c r="F3080">
        <v>74</v>
      </c>
      <c r="G3080">
        <v>0</v>
      </c>
      <c r="H3080">
        <v>108</v>
      </c>
      <c r="I3080" s="183" t="s">
        <v>992</v>
      </c>
      <c r="J3080" s="183" t="s">
        <v>12085</v>
      </c>
      <c r="K3080">
        <v>0</v>
      </c>
      <c r="L3080">
        <v>34</v>
      </c>
    </row>
    <row r="3081" spans="1:12">
      <c r="A3081" s="183" t="s">
        <v>465</v>
      </c>
      <c r="B3081" s="183" t="s">
        <v>1165</v>
      </c>
      <c r="C3081">
        <v>15880226</v>
      </c>
      <c r="D3081">
        <v>3</v>
      </c>
      <c r="E3081">
        <v>0</v>
      </c>
      <c r="F3081">
        <v>328</v>
      </c>
      <c r="G3081">
        <v>0</v>
      </c>
      <c r="H3081">
        <v>331</v>
      </c>
      <c r="I3081" s="183" t="s">
        <v>1166</v>
      </c>
      <c r="J3081" s="183" t="s">
        <v>12094</v>
      </c>
      <c r="K3081">
        <v>0</v>
      </c>
      <c r="L3081">
        <v>3</v>
      </c>
    </row>
    <row r="3082" spans="1:12">
      <c r="A3082" s="183" t="s">
        <v>471</v>
      </c>
      <c r="B3082" s="183" t="s">
        <v>1165</v>
      </c>
      <c r="C3082">
        <v>15880238</v>
      </c>
      <c r="D3082">
        <v>520</v>
      </c>
      <c r="E3082">
        <v>0</v>
      </c>
      <c r="F3082">
        <v>45</v>
      </c>
      <c r="G3082">
        <v>0</v>
      </c>
      <c r="H3082">
        <v>565</v>
      </c>
      <c r="I3082" s="183" t="s">
        <v>1166</v>
      </c>
      <c r="J3082" s="183" t="s">
        <v>12087</v>
      </c>
      <c r="K3082">
        <v>0</v>
      </c>
      <c r="L3082">
        <v>520</v>
      </c>
    </row>
    <row r="3083" spans="1:12">
      <c r="A3083" s="183" t="s">
        <v>472</v>
      </c>
      <c r="B3083" s="183" t="s">
        <v>1165</v>
      </c>
      <c r="C3083">
        <v>15880240</v>
      </c>
      <c r="D3083">
        <v>198</v>
      </c>
      <c r="E3083">
        <v>0</v>
      </c>
      <c r="F3083">
        <v>5</v>
      </c>
      <c r="G3083">
        <v>0</v>
      </c>
      <c r="H3083">
        <v>203</v>
      </c>
      <c r="I3083" s="183" t="s">
        <v>1166</v>
      </c>
      <c r="J3083" s="183" t="s">
        <v>12095</v>
      </c>
      <c r="K3083">
        <v>0</v>
      </c>
      <c r="L3083">
        <v>198</v>
      </c>
    </row>
    <row r="3084" spans="1:12">
      <c r="A3084" s="183" t="s">
        <v>478</v>
      </c>
      <c r="B3084" s="183" t="s">
        <v>1111</v>
      </c>
      <c r="C3084">
        <v>16920206</v>
      </c>
      <c r="D3084">
        <v>120</v>
      </c>
      <c r="E3084">
        <v>0</v>
      </c>
      <c r="F3084">
        <v>0</v>
      </c>
      <c r="G3084">
        <v>0</v>
      </c>
      <c r="H3084">
        <v>120</v>
      </c>
      <c r="I3084" s="183" t="s">
        <v>996</v>
      </c>
      <c r="J3084" s="183" t="s">
        <v>12091</v>
      </c>
      <c r="K3084">
        <v>0</v>
      </c>
      <c r="L3084">
        <v>120</v>
      </c>
    </row>
    <row r="3085" spans="1:12">
      <c r="A3085" s="183" t="s">
        <v>479</v>
      </c>
      <c r="B3085" s="183" t="s">
        <v>1111</v>
      </c>
      <c r="C3085">
        <v>16920207</v>
      </c>
      <c r="D3085">
        <v>233</v>
      </c>
      <c r="E3085">
        <v>0</v>
      </c>
      <c r="F3085">
        <v>0</v>
      </c>
      <c r="G3085">
        <v>0</v>
      </c>
      <c r="H3085">
        <v>233</v>
      </c>
      <c r="I3085" s="183" t="s">
        <v>996</v>
      </c>
      <c r="J3085" s="183" t="s">
        <v>12053</v>
      </c>
      <c r="K3085">
        <v>0</v>
      </c>
      <c r="L3085">
        <v>233</v>
      </c>
    </row>
    <row r="3086" spans="1:12">
      <c r="A3086" s="183" t="s">
        <v>483</v>
      </c>
      <c r="B3086" s="183" t="s">
        <v>1158</v>
      </c>
      <c r="C3086">
        <v>16920212</v>
      </c>
      <c r="D3086">
        <v>96</v>
      </c>
      <c r="E3086">
        <v>0</v>
      </c>
      <c r="F3086">
        <v>0</v>
      </c>
      <c r="G3086">
        <v>0</v>
      </c>
      <c r="H3086">
        <v>96</v>
      </c>
      <c r="I3086" s="183" t="s">
        <v>996</v>
      </c>
      <c r="J3086" s="183" t="s">
        <v>12092</v>
      </c>
      <c r="K3086">
        <v>0</v>
      </c>
      <c r="L3086">
        <v>96</v>
      </c>
    </row>
    <row r="3087" spans="1:12">
      <c r="A3087" s="183" t="s">
        <v>4851</v>
      </c>
      <c r="B3087" s="183" t="s">
        <v>1158</v>
      </c>
      <c r="C3087">
        <v>16920214</v>
      </c>
      <c r="D3087">
        <v>102</v>
      </c>
      <c r="E3087">
        <v>0</v>
      </c>
      <c r="F3087">
        <v>0</v>
      </c>
      <c r="G3087">
        <v>0</v>
      </c>
      <c r="H3087">
        <v>102</v>
      </c>
      <c r="I3087" s="183" t="s">
        <v>996</v>
      </c>
      <c r="J3087" s="183" t="s">
        <v>12092</v>
      </c>
      <c r="K3087">
        <v>0</v>
      </c>
      <c r="L3087">
        <v>102</v>
      </c>
    </row>
    <row r="3088" spans="1:12">
      <c r="A3088" s="183" t="s">
        <v>4852</v>
      </c>
      <c r="B3088" s="183" t="s">
        <v>1031</v>
      </c>
      <c r="C3088">
        <v>16920216</v>
      </c>
      <c r="D3088">
        <v>108</v>
      </c>
      <c r="E3088">
        <v>0</v>
      </c>
      <c r="F3088">
        <v>0</v>
      </c>
      <c r="G3088">
        <v>0</v>
      </c>
      <c r="H3088">
        <v>108</v>
      </c>
      <c r="I3088" s="183" t="s">
        <v>996</v>
      </c>
      <c r="J3088" s="183" t="s">
        <v>12087</v>
      </c>
      <c r="K3088">
        <v>0</v>
      </c>
      <c r="L3088">
        <v>108</v>
      </c>
    </row>
    <row r="3089" spans="1:12">
      <c r="A3089" s="183" t="s">
        <v>486</v>
      </c>
      <c r="B3089" s="183" t="s">
        <v>1077</v>
      </c>
      <c r="C3089">
        <v>16920221</v>
      </c>
      <c r="D3089">
        <v>236</v>
      </c>
      <c r="E3089">
        <v>0</v>
      </c>
      <c r="F3089">
        <v>0</v>
      </c>
      <c r="G3089">
        <v>0</v>
      </c>
      <c r="H3089">
        <v>236</v>
      </c>
      <c r="I3089" s="183" t="s">
        <v>996</v>
      </c>
      <c r="J3089" s="183" t="s">
        <v>12087</v>
      </c>
      <c r="K3089">
        <v>0</v>
      </c>
      <c r="L3089">
        <v>236</v>
      </c>
    </row>
    <row r="3090" spans="1:12">
      <c r="A3090" s="183" t="s">
        <v>496</v>
      </c>
      <c r="B3090" s="183" t="s">
        <v>1018</v>
      </c>
      <c r="C3090">
        <v>30010204</v>
      </c>
      <c r="D3090">
        <v>30</v>
      </c>
      <c r="E3090">
        <v>0</v>
      </c>
      <c r="F3090">
        <v>2</v>
      </c>
      <c r="G3090">
        <v>0</v>
      </c>
      <c r="H3090">
        <v>32</v>
      </c>
      <c r="I3090" s="183" t="s">
        <v>1019</v>
      </c>
      <c r="J3090" s="183" t="s">
        <v>12052</v>
      </c>
      <c r="K3090">
        <v>0</v>
      </c>
      <c r="L3090">
        <v>30</v>
      </c>
    </row>
    <row r="3091" spans="1:12">
      <c r="A3091" s="183" t="s">
        <v>514</v>
      </c>
      <c r="B3091" s="183" t="s">
        <v>1018</v>
      </c>
      <c r="C3091">
        <v>30010228</v>
      </c>
      <c r="D3091">
        <v>47</v>
      </c>
      <c r="E3091">
        <v>0</v>
      </c>
      <c r="F3091">
        <v>12</v>
      </c>
      <c r="G3091">
        <v>0</v>
      </c>
      <c r="H3091">
        <v>59</v>
      </c>
      <c r="I3091" s="183" t="s">
        <v>1019</v>
      </c>
      <c r="J3091" s="183" t="s">
        <v>12067</v>
      </c>
      <c r="K3091">
        <v>0</v>
      </c>
      <c r="L3091">
        <v>47</v>
      </c>
    </row>
    <row r="3092" spans="1:12">
      <c r="A3092" s="183" t="s">
        <v>521</v>
      </c>
      <c r="B3092" s="183" t="s">
        <v>991</v>
      </c>
      <c r="C3092">
        <v>30020207</v>
      </c>
      <c r="D3092">
        <v>24</v>
      </c>
      <c r="E3092">
        <v>0</v>
      </c>
      <c r="F3092">
        <v>35</v>
      </c>
      <c r="G3092">
        <v>0</v>
      </c>
      <c r="H3092">
        <v>59</v>
      </c>
      <c r="I3092" s="183" t="s">
        <v>992</v>
      </c>
      <c r="J3092" s="183" t="s">
        <v>12059</v>
      </c>
      <c r="K3092">
        <v>0</v>
      </c>
      <c r="L3092">
        <v>24</v>
      </c>
    </row>
    <row r="3093" spans="1:12">
      <c r="A3093" s="183" t="s">
        <v>528</v>
      </c>
      <c r="B3093" s="183" t="s">
        <v>991</v>
      </c>
      <c r="C3093">
        <v>30020214</v>
      </c>
      <c r="D3093">
        <v>47</v>
      </c>
      <c r="E3093">
        <v>0</v>
      </c>
      <c r="F3093">
        <v>59</v>
      </c>
      <c r="G3093">
        <v>0</v>
      </c>
      <c r="H3093">
        <v>106</v>
      </c>
      <c r="I3093" s="183" t="s">
        <v>992</v>
      </c>
      <c r="J3093" s="183" t="s">
        <v>12085</v>
      </c>
      <c r="K3093">
        <v>0</v>
      </c>
      <c r="L3093">
        <v>47</v>
      </c>
    </row>
    <row r="3094" spans="1:12">
      <c r="A3094" s="183" t="s">
        <v>541</v>
      </c>
      <c r="B3094" s="183" t="s">
        <v>1048</v>
      </c>
      <c r="C3094">
        <v>33010202</v>
      </c>
      <c r="D3094">
        <v>47</v>
      </c>
      <c r="E3094">
        <v>0</v>
      </c>
      <c r="F3094">
        <v>27</v>
      </c>
      <c r="G3094">
        <v>0</v>
      </c>
      <c r="H3094">
        <v>74</v>
      </c>
      <c r="I3094" s="183" t="s">
        <v>1049</v>
      </c>
      <c r="J3094" s="183" t="s">
        <v>12055</v>
      </c>
      <c r="K3094">
        <v>0</v>
      </c>
      <c r="L3094">
        <v>47</v>
      </c>
    </row>
    <row r="3095" spans="1:12">
      <c r="A3095" s="183" t="s">
        <v>3883</v>
      </c>
      <c r="B3095" s="183" t="s">
        <v>1048</v>
      </c>
      <c r="C3095">
        <v>33010208</v>
      </c>
      <c r="D3095">
        <v>132</v>
      </c>
      <c r="E3095">
        <v>0</v>
      </c>
      <c r="F3095">
        <v>2</v>
      </c>
      <c r="G3095">
        <v>0</v>
      </c>
      <c r="H3095">
        <v>134</v>
      </c>
      <c r="I3095" s="183" t="s">
        <v>1049</v>
      </c>
      <c r="J3095" s="183" t="s">
        <v>12066</v>
      </c>
      <c r="K3095">
        <v>0</v>
      </c>
      <c r="L3095">
        <v>132</v>
      </c>
    </row>
    <row r="3096" spans="1:12">
      <c r="A3096" s="183" t="s">
        <v>4488</v>
      </c>
      <c r="B3096" s="183" t="s">
        <v>1048</v>
      </c>
      <c r="C3096">
        <v>33010212</v>
      </c>
      <c r="D3096">
        <v>107</v>
      </c>
      <c r="E3096">
        <v>0</v>
      </c>
      <c r="F3096">
        <v>0</v>
      </c>
      <c r="G3096">
        <v>0</v>
      </c>
      <c r="H3096">
        <v>107</v>
      </c>
      <c r="I3096" s="183" t="s">
        <v>1049</v>
      </c>
      <c r="J3096" s="183" t="s">
        <v>12063</v>
      </c>
      <c r="K3096">
        <v>0</v>
      </c>
      <c r="L3096">
        <v>107</v>
      </c>
    </row>
    <row r="3097" spans="1:12">
      <c r="A3097" s="183" t="s">
        <v>3884</v>
      </c>
      <c r="B3097" s="183" t="s">
        <v>1048</v>
      </c>
      <c r="C3097">
        <v>33010214</v>
      </c>
      <c r="D3097">
        <v>33</v>
      </c>
      <c r="E3097">
        <v>0</v>
      </c>
      <c r="F3097">
        <v>0</v>
      </c>
      <c r="G3097">
        <v>0</v>
      </c>
      <c r="H3097">
        <v>33</v>
      </c>
      <c r="I3097" s="183" t="s">
        <v>1049</v>
      </c>
      <c r="J3097" s="183" t="s">
        <v>12063</v>
      </c>
      <c r="K3097">
        <v>0</v>
      </c>
      <c r="L3097">
        <v>33</v>
      </c>
    </row>
    <row r="3098" spans="1:12">
      <c r="A3098" s="183" t="s">
        <v>3822</v>
      </c>
      <c r="B3098" s="183" t="s">
        <v>1048</v>
      </c>
      <c r="C3098">
        <v>33010220</v>
      </c>
      <c r="D3098">
        <v>110</v>
      </c>
      <c r="E3098">
        <v>0</v>
      </c>
      <c r="F3098">
        <v>0</v>
      </c>
      <c r="G3098">
        <v>0</v>
      </c>
      <c r="H3098">
        <v>110</v>
      </c>
      <c r="I3098" s="183" t="s">
        <v>1049</v>
      </c>
      <c r="J3098" s="183" t="s">
        <v>12094</v>
      </c>
      <c r="K3098">
        <v>0</v>
      </c>
      <c r="L3098">
        <v>110</v>
      </c>
    </row>
    <row r="3099" spans="1:12">
      <c r="A3099" s="183" t="s">
        <v>3764</v>
      </c>
      <c r="B3099" s="183" t="s">
        <v>1048</v>
      </c>
      <c r="C3099">
        <v>33010222</v>
      </c>
      <c r="D3099">
        <v>11</v>
      </c>
      <c r="E3099">
        <v>0</v>
      </c>
      <c r="F3099">
        <v>4</v>
      </c>
      <c r="G3099">
        <v>0</v>
      </c>
      <c r="H3099">
        <v>15</v>
      </c>
      <c r="I3099" s="183" t="s">
        <v>1049</v>
      </c>
      <c r="J3099" s="183" t="s">
        <v>12094</v>
      </c>
      <c r="K3099">
        <v>0</v>
      </c>
      <c r="L3099">
        <v>11</v>
      </c>
    </row>
    <row r="3100" spans="1:12">
      <c r="A3100" s="183" t="s">
        <v>4489</v>
      </c>
      <c r="B3100" s="183" t="s">
        <v>1048</v>
      </c>
      <c r="C3100">
        <v>33010224</v>
      </c>
      <c r="D3100">
        <v>0</v>
      </c>
      <c r="E3100">
        <v>0</v>
      </c>
      <c r="F3100">
        <v>25</v>
      </c>
      <c r="G3100">
        <v>0</v>
      </c>
      <c r="H3100">
        <v>25</v>
      </c>
      <c r="I3100" s="183" t="s">
        <v>1049</v>
      </c>
      <c r="J3100" s="183" t="s">
        <v>12055</v>
      </c>
      <c r="K3100">
        <v>0</v>
      </c>
      <c r="L3100">
        <v>0</v>
      </c>
    </row>
    <row r="3101" spans="1:12">
      <c r="A3101" s="183" t="s">
        <v>3881</v>
      </c>
      <c r="B3101" s="183" t="s">
        <v>1048</v>
      </c>
      <c r="C3101">
        <v>33010226</v>
      </c>
      <c r="D3101">
        <v>69</v>
      </c>
      <c r="E3101">
        <v>0</v>
      </c>
      <c r="F3101">
        <v>0</v>
      </c>
      <c r="G3101">
        <v>0</v>
      </c>
      <c r="H3101">
        <v>69</v>
      </c>
      <c r="I3101" s="183" t="s">
        <v>1049</v>
      </c>
      <c r="J3101" s="183" t="s">
        <v>12066</v>
      </c>
      <c r="K3101">
        <v>0</v>
      </c>
      <c r="L3101">
        <v>69</v>
      </c>
    </row>
    <row r="3102" spans="1:12">
      <c r="A3102" s="183" t="s">
        <v>4460</v>
      </c>
      <c r="B3102" s="183" t="s">
        <v>1056</v>
      </c>
      <c r="C3102">
        <v>33020200</v>
      </c>
      <c r="D3102">
        <v>40</v>
      </c>
      <c r="E3102">
        <v>0</v>
      </c>
      <c r="F3102">
        <v>0</v>
      </c>
      <c r="G3102">
        <v>0</v>
      </c>
      <c r="H3102">
        <v>40</v>
      </c>
      <c r="I3102" s="183" t="s">
        <v>1057</v>
      </c>
      <c r="J3102" s="183" t="s">
        <v>12056</v>
      </c>
      <c r="K3102">
        <v>0</v>
      </c>
      <c r="L3102">
        <v>40</v>
      </c>
    </row>
    <row r="3103" spans="1:12">
      <c r="A3103" s="183" t="s">
        <v>2951</v>
      </c>
      <c r="B3103" s="183" t="s">
        <v>1056</v>
      </c>
      <c r="C3103">
        <v>33020213</v>
      </c>
      <c r="D3103">
        <v>47</v>
      </c>
      <c r="E3103">
        <v>0</v>
      </c>
      <c r="F3103">
        <v>13</v>
      </c>
      <c r="G3103">
        <v>0</v>
      </c>
      <c r="H3103">
        <v>60</v>
      </c>
      <c r="I3103" s="183" t="s">
        <v>1057</v>
      </c>
      <c r="J3103" s="183" t="s">
        <v>12067</v>
      </c>
      <c r="K3103">
        <v>0</v>
      </c>
      <c r="L3103">
        <v>47</v>
      </c>
    </row>
    <row r="3104" spans="1:12">
      <c r="A3104" s="183" t="s">
        <v>3777</v>
      </c>
      <c r="B3104" s="183" t="s">
        <v>1056</v>
      </c>
      <c r="C3104">
        <v>33020222</v>
      </c>
      <c r="D3104">
        <v>41</v>
      </c>
      <c r="E3104">
        <v>0</v>
      </c>
      <c r="F3104">
        <v>0</v>
      </c>
      <c r="G3104">
        <v>0</v>
      </c>
      <c r="H3104">
        <v>41</v>
      </c>
      <c r="I3104" s="183" t="s">
        <v>1057</v>
      </c>
      <c r="J3104" s="183" t="s">
        <v>12081</v>
      </c>
      <c r="K3104">
        <v>0</v>
      </c>
      <c r="L3104">
        <v>41</v>
      </c>
    </row>
    <row r="3105" spans="1:12">
      <c r="A3105" s="183" t="s">
        <v>553</v>
      </c>
      <c r="B3105" s="183" t="s">
        <v>1056</v>
      </c>
      <c r="C3105">
        <v>33020224</v>
      </c>
      <c r="D3105">
        <v>87</v>
      </c>
      <c r="E3105">
        <v>0</v>
      </c>
      <c r="F3105">
        <v>0</v>
      </c>
      <c r="G3105">
        <v>0</v>
      </c>
      <c r="H3105">
        <v>87</v>
      </c>
      <c r="I3105" s="183" t="s">
        <v>1057</v>
      </c>
      <c r="J3105" s="183" t="s">
        <v>12087</v>
      </c>
      <c r="K3105">
        <v>0</v>
      </c>
      <c r="L3105">
        <v>87</v>
      </c>
    </row>
    <row r="3106" spans="1:12">
      <c r="A3106" s="183" t="s">
        <v>4461</v>
      </c>
      <c r="B3106" s="183" t="s">
        <v>1003</v>
      </c>
      <c r="C3106">
        <v>33040200</v>
      </c>
      <c r="D3106">
        <v>44</v>
      </c>
      <c r="E3106">
        <v>0</v>
      </c>
      <c r="F3106">
        <v>0</v>
      </c>
      <c r="G3106">
        <v>0</v>
      </c>
      <c r="H3106">
        <v>44</v>
      </c>
      <c r="I3106" s="183" t="s">
        <v>1004</v>
      </c>
      <c r="J3106" s="183" t="s">
        <v>12067</v>
      </c>
      <c r="K3106">
        <v>0</v>
      </c>
      <c r="L3106">
        <v>44</v>
      </c>
    </row>
    <row r="3107" spans="1:12">
      <c r="A3107" s="183" t="s">
        <v>743</v>
      </c>
      <c r="B3107" s="183" t="s">
        <v>1003</v>
      </c>
      <c r="C3107">
        <v>33040203</v>
      </c>
      <c r="D3107">
        <v>19</v>
      </c>
      <c r="E3107">
        <v>0</v>
      </c>
      <c r="F3107">
        <v>4</v>
      </c>
      <c r="G3107">
        <v>0</v>
      </c>
      <c r="H3107">
        <v>23</v>
      </c>
      <c r="I3107" s="183" t="s">
        <v>1004</v>
      </c>
      <c r="J3107" s="183" t="s">
        <v>12091</v>
      </c>
      <c r="K3107">
        <v>0</v>
      </c>
      <c r="L3107">
        <v>19</v>
      </c>
    </row>
    <row r="3108" spans="1:12">
      <c r="A3108" s="183" t="s">
        <v>560</v>
      </c>
      <c r="B3108" s="183" t="s">
        <v>1003</v>
      </c>
      <c r="C3108">
        <v>33040206</v>
      </c>
      <c r="D3108">
        <v>110</v>
      </c>
      <c r="E3108">
        <v>0</v>
      </c>
      <c r="F3108">
        <v>2</v>
      </c>
      <c r="G3108">
        <v>0</v>
      </c>
      <c r="H3108">
        <v>112</v>
      </c>
      <c r="I3108" s="183" t="s">
        <v>1004</v>
      </c>
      <c r="J3108" s="183" t="s">
        <v>12060</v>
      </c>
      <c r="K3108">
        <v>0</v>
      </c>
      <c r="L3108">
        <v>110</v>
      </c>
    </row>
    <row r="3109" spans="1:12">
      <c r="A3109" s="183" t="s">
        <v>4490</v>
      </c>
      <c r="B3109" s="183" t="s">
        <v>1003</v>
      </c>
      <c r="C3109">
        <v>33040209</v>
      </c>
      <c r="D3109">
        <v>86</v>
      </c>
      <c r="E3109">
        <v>0</v>
      </c>
      <c r="F3109">
        <v>0</v>
      </c>
      <c r="G3109">
        <v>0</v>
      </c>
      <c r="H3109">
        <v>86</v>
      </c>
      <c r="I3109" s="183" t="s">
        <v>1004</v>
      </c>
      <c r="J3109" s="183" t="s">
        <v>12066</v>
      </c>
      <c r="K3109">
        <v>0</v>
      </c>
      <c r="L3109">
        <v>86</v>
      </c>
    </row>
    <row r="3110" spans="1:12">
      <c r="A3110" s="183" t="s">
        <v>3763</v>
      </c>
      <c r="B3110" s="183" t="s">
        <v>1003</v>
      </c>
      <c r="C3110">
        <v>33040215</v>
      </c>
      <c r="D3110">
        <v>51</v>
      </c>
      <c r="E3110">
        <v>0</v>
      </c>
      <c r="F3110">
        <v>0</v>
      </c>
      <c r="G3110">
        <v>0</v>
      </c>
      <c r="H3110">
        <v>51</v>
      </c>
      <c r="I3110" s="183" t="s">
        <v>1004</v>
      </c>
      <c r="J3110" s="183" t="s">
        <v>12052</v>
      </c>
      <c r="K3110">
        <v>0</v>
      </c>
      <c r="L3110">
        <v>51</v>
      </c>
    </row>
    <row r="3111" spans="1:12">
      <c r="A3111" s="183" t="s">
        <v>567</v>
      </c>
      <c r="B3111" s="183" t="s">
        <v>1003</v>
      </c>
      <c r="C3111">
        <v>33040226</v>
      </c>
      <c r="D3111">
        <v>103</v>
      </c>
      <c r="E3111">
        <v>0</v>
      </c>
      <c r="F3111">
        <v>0</v>
      </c>
      <c r="G3111">
        <v>0</v>
      </c>
      <c r="H3111">
        <v>103</v>
      </c>
      <c r="I3111" s="183" t="s">
        <v>1004</v>
      </c>
      <c r="J3111" s="183" t="s">
        <v>12081</v>
      </c>
      <c r="K3111">
        <v>0</v>
      </c>
      <c r="L3111">
        <v>103</v>
      </c>
    </row>
    <row r="3112" spans="1:12">
      <c r="A3112" s="183" t="s">
        <v>4374</v>
      </c>
      <c r="B3112" s="183" t="s">
        <v>4375</v>
      </c>
      <c r="C3112">
        <v>8800269006209</v>
      </c>
      <c r="D3112">
        <v>198</v>
      </c>
      <c r="E3112">
        <v>0</v>
      </c>
      <c r="F3112">
        <v>0</v>
      </c>
      <c r="G3112">
        <v>0</v>
      </c>
      <c r="H3112">
        <v>198</v>
      </c>
      <c r="I3112" s="183" t="s">
        <v>4355</v>
      </c>
      <c r="J3112" s="183" t="s">
        <v>12085</v>
      </c>
      <c r="K3112">
        <v>0</v>
      </c>
      <c r="L3112">
        <v>198</v>
      </c>
    </row>
    <row r="3113" spans="1:12">
      <c r="A3113" s="183" t="s">
        <v>4376</v>
      </c>
      <c r="B3113" s="183" t="s">
        <v>4377</v>
      </c>
      <c r="C3113">
        <v>8800269006216</v>
      </c>
      <c r="D3113">
        <v>235</v>
      </c>
      <c r="E3113">
        <v>0</v>
      </c>
      <c r="F3113">
        <v>0</v>
      </c>
      <c r="G3113">
        <v>0</v>
      </c>
      <c r="H3113">
        <v>235</v>
      </c>
      <c r="I3113" s="183" t="s">
        <v>4355</v>
      </c>
      <c r="J3113" s="183" t="s">
        <v>12063</v>
      </c>
      <c r="K3113">
        <v>0</v>
      </c>
      <c r="L3113">
        <v>235</v>
      </c>
    </row>
    <row r="3114" spans="1:12">
      <c r="A3114" s="183" t="s">
        <v>4378</v>
      </c>
      <c r="B3114" s="183" t="s">
        <v>4379</v>
      </c>
      <c r="C3114">
        <v>8800269006292</v>
      </c>
      <c r="D3114">
        <v>192</v>
      </c>
      <c r="E3114">
        <v>0</v>
      </c>
      <c r="F3114">
        <v>0</v>
      </c>
      <c r="G3114">
        <v>0</v>
      </c>
      <c r="H3114">
        <v>192</v>
      </c>
      <c r="I3114" s="183" t="s">
        <v>4355</v>
      </c>
      <c r="J3114" s="183" t="s">
        <v>12095</v>
      </c>
      <c r="K3114">
        <v>0</v>
      </c>
      <c r="L3114">
        <v>192</v>
      </c>
    </row>
    <row r="3115" spans="1:12">
      <c r="A3115" s="183" t="s">
        <v>4380</v>
      </c>
      <c r="B3115" s="183" t="s">
        <v>4381</v>
      </c>
      <c r="C3115">
        <v>8800269006308</v>
      </c>
      <c r="D3115">
        <v>193</v>
      </c>
      <c r="E3115">
        <v>0</v>
      </c>
      <c r="F3115">
        <v>0</v>
      </c>
      <c r="G3115">
        <v>0</v>
      </c>
      <c r="H3115">
        <v>193</v>
      </c>
      <c r="I3115" s="183" t="s">
        <v>4355</v>
      </c>
      <c r="J3115" s="183" t="s">
        <v>12055</v>
      </c>
      <c r="K3115">
        <v>0</v>
      </c>
      <c r="L3115">
        <v>193</v>
      </c>
    </row>
    <row r="3116" spans="1:12">
      <c r="A3116" s="183" t="s">
        <v>4382</v>
      </c>
      <c r="B3116" s="183" t="s">
        <v>4383</v>
      </c>
      <c r="C3116">
        <v>8800269006384</v>
      </c>
      <c r="D3116">
        <v>174</v>
      </c>
      <c r="E3116">
        <v>0</v>
      </c>
      <c r="F3116">
        <v>0</v>
      </c>
      <c r="G3116">
        <v>0</v>
      </c>
      <c r="H3116">
        <v>174</v>
      </c>
      <c r="I3116" s="183" t="s">
        <v>4355</v>
      </c>
      <c r="J3116" s="183" t="s">
        <v>12085</v>
      </c>
      <c r="K3116">
        <v>0</v>
      </c>
      <c r="L3116">
        <v>174</v>
      </c>
    </row>
    <row r="3117" spans="1:12">
      <c r="A3117" s="183" t="s">
        <v>4384</v>
      </c>
      <c r="B3117" s="183" t="s">
        <v>4385</v>
      </c>
      <c r="C3117">
        <v>8800269006452</v>
      </c>
      <c r="D3117">
        <v>162</v>
      </c>
      <c r="E3117">
        <v>0</v>
      </c>
      <c r="F3117">
        <v>0</v>
      </c>
      <c r="G3117">
        <v>0</v>
      </c>
      <c r="H3117">
        <v>162</v>
      </c>
      <c r="I3117" s="183" t="s">
        <v>4355</v>
      </c>
      <c r="J3117" s="183" t="s">
        <v>12095</v>
      </c>
      <c r="K3117">
        <v>0</v>
      </c>
      <c r="L3117">
        <v>162</v>
      </c>
    </row>
    <row r="3118" spans="1:12">
      <c r="A3118" s="183" t="s">
        <v>4386</v>
      </c>
      <c r="B3118" s="183" t="s">
        <v>4359</v>
      </c>
      <c r="C3118">
        <v>8800269006629</v>
      </c>
      <c r="D3118">
        <v>149</v>
      </c>
      <c r="E3118">
        <v>0</v>
      </c>
      <c r="F3118">
        <v>0</v>
      </c>
      <c r="G3118">
        <v>0</v>
      </c>
      <c r="H3118">
        <v>149</v>
      </c>
      <c r="I3118" s="183" t="s">
        <v>4360</v>
      </c>
      <c r="J3118" s="183" t="s">
        <v>12095</v>
      </c>
      <c r="K3118">
        <v>0</v>
      </c>
      <c r="L3118">
        <v>149</v>
      </c>
    </row>
    <row r="3119" spans="1:12">
      <c r="A3119" s="183" t="s">
        <v>4387</v>
      </c>
      <c r="B3119" s="183" t="s">
        <v>4388</v>
      </c>
      <c r="C3119">
        <v>8800269006704</v>
      </c>
      <c r="D3119">
        <v>200</v>
      </c>
      <c r="E3119">
        <v>0</v>
      </c>
      <c r="F3119">
        <v>0</v>
      </c>
      <c r="G3119">
        <v>0</v>
      </c>
      <c r="H3119">
        <v>200</v>
      </c>
      <c r="I3119" s="183" t="s">
        <v>4360</v>
      </c>
      <c r="J3119" s="183" t="s">
        <v>12087</v>
      </c>
      <c r="K3119">
        <v>0</v>
      </c>
      <c r="L3119">
        <v>200</v>
      </c>
    </row>
    <row r="3120" spans="1:12">
      <c r="A3120" s="183" t="s">
        <v>4513</v>
      </c>
      <c r="B3120" s="183" t="s">
        <v>4514</v>
      </c>
      <c r="C3120">
        <v>8800269028126</v>
      </c>
      <c r="D3120">
        <v>463</v>
      </c>
      <c r="E3120">
        <v>0</v>
      </c>
      <c r="F3120">
        <v>0</v>
      </c>
      <c r="G3120">
        <v>0</v>
      </c>
      <c r="H3120">
        <v>463</v>
      </c>
      <c r="I3120" s="183" t="s">
        <v>4499</v>
      </c>
      <c r="J3120" s="183" t="s">
        <v>12053</v>
      </c>
      <c r="K3120">
        <v>0</v>
      </c>
      <c r="L3120">
        <v>463</v>
      </c>
    </row>
    <row r="3121" spans="1:12">
      <c r="A3121" s="183" t="s">
        <v>4515</v>
      </c>
      <c r="B3121" s="183" t="s">
        <v>4516</v>
      </c>
      <c r="C3121">
        <v>8800269028140</v>
      </c>
      <c r="D3121">
        <v>452</v>
      </c>
      <c r="E3121">
        <v>0</v>
      </c>
      <c r="F3121">
        <v>0</v>
      </c>
      <c r="G3121">
        <v>0</v>
      </c>
      <c r="H3121">
        <v>452</v>
      </c>
      <c r="I3121" s="183" t="s">
        <v>4499</v>
      </c>
      <c r="J3121" s="183" t="s">
        <v>12091</v>
      </c>
      <c r="K3121">
        <v>0</v>
      </c>
      <c r="L3121">
        <v>452</v>
      </c>
    </row>
    <row r="3122" spans="1:12">
      <c r="A3122" s="183" t="s">
        <v>4517</v>
      </c>
      <c r="B3122" s="183" t="s">
        <v>4518</v>
      </c>
      <c r="C3122">
        <v>8800269028249</v>
      </c>
      <c r="D3122">
        <v>481</v>
      </c>
      <c r="E3122">
        <v>0</v>
      </c>
      <c r="F3122">
        <v>0</v>
      </c>
      <c r="G3122">
        <v>0</v>
      </c>
      <c r="H3122">
        <v>481</v>
      </c>
      <c r="I3122" s="183" t="s">
        <v>4499</v>
      </c>
      <c r="J3122" s="183" t="s">
        <v>12095</v>
      </c>
      <c r="K3122">
        <v>0</v>
      </c>
      <c r="L3122">
        <v>481</v>
      </c>
    </row>
    <row r="3123" spans="1:12">
      <c r="A3123" s="183" t="s">
        <v>4519</v>
      </c>
      <c r="B3123" s="183" t="s">
        <v>4520</v>
      </c>
      <c r="C3123">
        <v>8800269028287</v>
      </c>
      <c r="D3123">
        <v>294</v>
      </c>
      <c r="E3123">
        <v>0</v>
      </c>
      <c r="F3123">
        <v>0</v>
      </c>
      <c r="G3123">
        <v>0</v>
      </c>
      <c r="H3123">
        <v>294</v>
      </c>
      <c r="I3123" s="183" t="s">
        <v>4499</v>
      </c>
      <c r="J3123" s="183" t="s">
        <v>12048</v>
      </c>
      <c r="K3123">
        <v>0</v>
      </c>
      <c r="L3123">
        <v>294</v>
      </c>
    </row>
    <row r="3124" spans="1:12">
      <c r="A3124" s="183" t="s">
        <v>4521</v>
      </c>
      <c r="B3124" s="183" t="s">
        <v>4522</v>
      </c>
      <c r="C3124">
        <v>8800269028485</v>
      </c>
      <c r="D3124">
        <v>426</v>
      </c>
      <c r="E3124">
        <v>0</v>
      </c>
      <c r="F3124">
        <v>0</v>
      </c>
      <c r="G3124">
        <v>0</v>
      </c>
      <c r="H3124">
        <v>426</v>
      </c>
      <c r="I3124" s="183" t="s">
        <v>4510</v>
      </c>
      <c r="J3124" s="183" t="s">
        <v>12091</v>
      </c>
      <c r="K3124">
        <v>0</v>
      </c>
      <c r="L3124">
        <v>426</v>
      </c>
    </row>
    <row r="3125" spans="1:12">
      <c r="A3125" s="183" t="s">
        <v>4523</v>
      </c>
      <c r="B3125" s="183" t="s">
        <v>4524</v>
      </c>
      <c r="C3125">
        <v>8800269028546</v>
      </c>
      <c r="D3125">
        <v>450</v>
      </c>
      <c r="E3125">
        <v>0</v>
      </c>
      <c r="F3125">
        <v>0</v>
      </c>
      <c r="G3125">
        <v>0</v>
      </c>
      <c r="H3125">
        <v>450</v>
      </c>
      <c r="I3125" s="183" t="s">
        <v>4510</v>
      </c>
      <c r="J3125" s="183" t="s">
        <v>12092</v>
      </c>
      <c r="K3125">
        <v>0</v>
      </c>
      <c r="L3125">
        <v>450</v>
      </c>
    </row>
    <row r="3126" spans="1:12">
      <c r="A3126" s="183" t="s">
        <v>5895</v>
      </c>
      <c r="B3126" s="183" t="s">
        <v>5893</v>
      </c>
      <c r="C3126">
        <v>8800322956601</v>
      </c>
      <c r="D3126">
        <v>139</v>
      </c>
      <c r="E3126">
        <v>0</v>
      </c>
      <c r="F3126">
        <v>0</v>
      </c>
      <c r="G3126">
        <v>0</v>
      </c>
      <c r="H3126">
        <v>139</v>
      </c>
      <c r="I3126" s="183" t="s">
        <v>5896</v>
      </c>
      <c r="J3126" s="183" t="s">
        <v>12057</v>
      </c>
      <c r="K3126">
        <v>0</v>
      </c>
      <c r="L3126">
        <v>139</v>
      </c>
    </row>
    <row r="3127" spans="1:12">
      <c r="A3127" s="183" t="s">
        <v>6689</v>
      </c>
      <c r="B3127" s="183" t="s">
        <v>1026</v>
      </c>
      <c r="C3127">
        <v>8800358434319</v>
      </c>
      <c r="D3127">
        <v>125</v>
      </c>
      <c r="E3127">
        <v>0</v>
      </c>
      <c r="F3127">
        <v>0</v>
      </c>
      <c r="G3127">
        <v>0</v>
      </c>
      <c r="H3127">
        <v>125</v>
      </c>
      <c r="I3127" s="183" t="s">
        <v>6450</v>
      </c>
      <c r="J3127" s="183" t="s">
        <v>12057</v>
      </c>
      <c r="K3127">
        <v>0</v>
      </c>
      <c r="L3127">
        <v>125</v>
      </c>
    </row>
    <row r="3128" spans="1:12">
      <c r="A3128" s="183" t="s">
        <v>401</v>
      </c>
      <c r="B3128" s="183" t="s">
        <v>1182</v>
      </c>
      <c r="C3128">
        <v>15860202</v>
      </c>
      <c r="D3128">
        <v>111</v>
      </c>
      <c r="E3128">
        <v>0</v>
      </c>
      <c r="F3128" s="501">
        <v>1016</v>
      </c>
      <c r="G3128">
        <v>0</v>
      </c>
      <c r="H3128" s="501">
        <v>1127</v>
      </c>
      <c r="I3128" s="183" t="s">
        <v>1183</v>
      </c>
      <c r="J3128" s="183" t="s">
        <v>12094</v>
      </c>
      <c r="K3128">
        <v>0</v>
      </c>
      <c r="L3128">
        <v>111</v>
      </c>
    </row>
    <row r="3129" spans="1:12">
      <c r="A3129" s="183" t="s">
        <v>430</v>
      </c>
      <c r="B3129" s="183" t="s">
        <v>1182</v>
      </c>
      <c r="C3129">
        <v>15860238</v>
      </c>
      <c r="D3129">
        <v>194</v>
      </c>
      <c r="E3129">
        <v>0</v>
      </c>
      <c r="F3129">
        <v>79</v>
      </c>
      <c r="G3129">
        <v>0</v>
      </c>
      <c r="H3129">
        <v>273</v>
      </c>
      <c r="I3129" s="183" t="s">
        <v>1183</v>
      </c>
      <c r="J3129" s="183" t="s">
        <v>12059</v>
      </c>
      <c r="K3129">
        <v>0</v>
      </c>
      <c r="L3129">
        <v>194</v>
      </c>
    </row>
    <row r="3130" spans="1:12">
      <c r="A3130" s="183" t="s">
        <v>434</v>
      </c>
      <c r="B3130" s="183" t="s">
        <v>1010</v>
      </c>
      <c r="C3130">
        <v>15870208</v>
      </c>
      <c r="D3130">
        <v>146</v>
      </c>
      <c r="E3130">
        <v>0</v>
      </c>
      <c r="F3130" s="501">
        <v>1102</v>
      </c>
      <c r="G3130">
        <v>0</v>
      </c>
      <c r="H3130" s="501">
        <v>1248</v>
      </c>
      <c r="I3130" s="183" t="s">
        <v>1011</v>
      </c>
      <c r="J3130" s="183" t="s">
        <v>12093</v>
      </c>
      <c r="K3130">
        <v>0</v>
      </c>
      <c r="L3130">
        <v>146</v>
      </c>
    </row>
    <row r="3131" spans="1:12">
      <c r="A3131" s="183" t="s">
        <v>450</v>
      </c>
      <c r="B3131" s="183" t="s">
        <v>1165</v>
      </c>
      <c r="C3131">
        <v>15880209</v>
      </c>
      <c r="D3131">
        <v>160</v>
      </c>
      <c r="E3131">
        <v>0</v>
      </c>
      <c r="F3131" s="501">
        <v>1407</v>
      </c>
      <c r="G3131">
        <v>0</v>
      </c>
      <c r="H3131" s="501">
        <v>1567</v>
      </c>
      <c r="I3131" s="183" t="s">
        <v>1166</v>
      </c>
      <c r="J3131" s="183" t="s">
        <v>12059</v>
      </c>
      <c r="K3131">
        <v>0</v>
      </c>
      <c r="L3131">
        <v>160</v>
      </c>
    </row>
    <row r="3132" spans="1:12">
      <c r="A3132" s="183" t="s">
        <v>451</v>
      </c>
      <c r="B3132" s="183" t="s">
        <v>1165</v>
      </c>
      <c r="C3132">
        <v>15880210</v>
      </c>
      <c r="D3132">
        <v>90</v>
      </c>
      <c r="E3132">
        <v>0</v>
      </c>
      <c r="F3132">
        <v>658</v>
      </c>
      <c r="G3132">
        <v>0</v>
      </c>
      <c r="H3132">
        <v>748</v>
      </c>
      <c r="I3132" s="183" t="s">
        <v>1166</v>
      </c>
      <c r="J3132" s="183" t="s">
        <v>12052</v>
      </c>
      <c r="K3132">
        <v>0</v>
      </c>
      <c r="L3132">
        <v>90</v>
      </c>
    </row>
    <row r="3133" spans="1:12">
      <c r="A3133" s="183" t="s">
        <v>480</v>
      </c>
      <c r="B3133" s="183" t="s">
        <v>995</v>
      </c>
      <c r="C3133">
        <v>16920208</v>
      </c>
      <c r="D3133">
        <v>103</v>
      </c>
      <c r="E3133">
        <v>0</v>
      </c>
      <c r="F3133">
        <v>0</v>
      </c>
      <c r="G3133">
        <v>0</v>
      </c>
      <c r="H3133">
        <v>103</v>
      </c>
      <c r="I3133" s="183" t="s">
        <v>996</v>
      </c>
      <c r="J3133" s="183" t="s">
        <v>12053</v>
      </c>
      <c r="K3133">
        <v>0</v>
      </c>
      <c r="L3133">
        <v>103</v>
      </c>
    </row>
    <row r="3134" spans="1:12">
      <c r="A3134" s="183" t="s">
        <v>7544</v>
      </c>
      <c r="B3134" s="183" t="s">
        <v>1018</v>
      </c>
      <c r="C3134">
        <v>30010200</v>
      </c>
      <c r="D3134">
        <v>57</v>
      </c>
      <c r="E3134">
        <v>0</v>
      </c>
      <c r="F3134">
        <v>0</v>
      </c>
      <c r="G3134">
        <v>0</v>
      </c>
      <c r="H3134">
        <v>57</v>
      </c>
      <c r="I3134" s="183" t="s">
        <v>1019</v>
      </c>
      <c r="J3134" s="183" t="s">
        <v>12052</v>
      </c>
      <c r="K3134">
        <v>0</v>
      </c>
      <c r="L3134">
        <v>57</v>
      </c>
    </row>
    <row r="3135" spans="1:12">
      <c r="A3135" s="183" t="s">
        <v>495</v>
      </c>
      <c r="B3135" s="183" t="s">
        <v>1018</v>
      </c>
      <c r="C3135">
        <v>30010203</v>
      </c>
      <c r="D3135">
        <v>0</v>
      </c>
      <c r="E3135">
        <v>0</v>
      </c>
      <c r="F3135">
        <v>93</v>
      </c>
      <c r="G3135">
        <v>0</v>
      </c>
      <c r="H3135">
        <v>93</v>
      </c>
      <c r="I3135" s="183" t="s">
        <v>1019</v>
      </c>
      <c r="J3135" s="183" t="s">
        <v>12060</v>
      </c>
      <c r="K3135">
        <v>0</v>
      </c>
      <c r="L3135">
        <v>0</v>
      </c>
    </row>
    <row r="3136" spans="1:12">
      <c r="A3136" s="183" t="s">
        <v>497</v>
      </c>
      <c r="B3136" s="183" t="s">
        <v>1018</v>
      </c>
      <c r="C3136">
        <v>30010205</v>
      </c>
      <c r="D3136">
        <v>64</v>
      </c>
      <c r="E3136">
        <v>0</v>
      </c>
      <c r="F3136">
        <v>0</v>
      </c>
      <c r="G3136">
        <v>0</v>
      </c>
      <c r="H3136">
        <v>64</v>
      </c>
      <c r="I3136" s="183" t="s">
        <v>1019</v>
      </c>
      <c r="J3136" s="183" t="s">
        <v>12067</v>
      </c>
      <c r="K3136">
        <v>0</v>
      </c>
      <c r="L3136">
        <v>64</v>
      </c>
    </row>
    <row r="3137" spans="1:12">
      <c r="A3137" s="183" t="s">
        <v>502</v>
      </c>
      <c r="B3137" s="183" t="s">
        <v>1018</v>
      </c>
      <c r="C3137">
        <v>30010211</v>
      </c>
      <c r="D3137">
        <v>83</v>
      </c>
      <c r="E3137">
        <v>0</v>
      </c>
      <c r="F3137">
        <v>44</v>
      </c>
      <c r="G3137">
        <v>0</v>
      </c>
      <c r="H3137">
        <v>127</v>
      </c>
      <c r="I3137" s="183" t="s">
        <v>1019</v>
      </c>
      <c r="J3137" s="183" t="s">
        <v>12067</v>
      </c>
      <c r="K3137">
        <v>0</v>
      </c>
      <c r="L3137">
        <v>83</v>
      </c>
    </row>
    <row r="3138" spans="1:12">
      <c r="A3138" s="183" t="s">
        <v>503</v>
      </c>
      <c r="B3138" s="183" t="s">
        <v>1018</v>
      </c>
      <c r="C3138">
        <v>30010213</v>
      </c>
      <c r="D3138">
        <v>33</v>
      </c>
      <c r="E3138">
        <v>0</v>
      </c>
      <c r="F3138">
        <v>2</v>
      </c>
      <c r="G3138">
        <v>0</v>
      </c>
      <c r="H3138">
        <v>35</v>
      </c>
      <c r="I3138" s="183" t="s">
        <v>1019</v>
      </c>
      <c r="J3138" s="183" t="s">
        <v>12053</v>
      </c>
      <c r="K3138">
        <v>0</v>
      </c>
      <c r="L3138">
        <v>33</v>
      </c>
    </row>
    <row r="3139" spans="1:12">
      <c r="A3139" s="183" t="s">
        <v>505</v>
      </c>
      <c r="B3139" s="183" t="s">
        <v>1018</v>
      </c>
      <c r="C3139">
        <v>30010215</v>
      </c>
      <c r="D3139">
        <v>149</v>
      </c>
      <c r="E3139">
        <v>0</v>
      </c>
      <c r="F3139">
        <v>7</v>
      </c>
      <c r="G3139">
        <v>0</v>
      </c>
      <c r="H3139">
        <v>156</v>
      </c>
      <c r="I3139" s="183" t="s">
        <v>1019</v>
      </c>
      <c r="J3139" s="183" t="s">
        <v>12053</v>
      </c>
      <c r="K3139">
        <v>0</v>
      </c>
      <c r="L3139">
        <v>149</v>
      </c>
    </row>
    <row r="3140" spans="1:12">
      <c r="A3140" s="183" t="s">
        <v>509</v>
      </c>
      <c r="B3140" s="183" t="s">
        <v>1018</v>
      </c>
      <c r="C3140">
        <v>30010219</v>
      </c>
      <c r="D3140">
        <v>151</v>
      </c>
      <c r="E3140">
        <v>0</v>
      </c>
      <c r="F3140">
        <v>11</v>
      </c>
      <c r="G3140">
        <v>0</v>
      </c>
      <c r="H3140">
        <v>162</v>
      </c>
      <c r="I3140" s="183" t="s">
        <v>1019</v>
      </c>
      <c r="J3140" s="183" t="s">
        <v>12067</v>
      </c>
      <c r="K3140">
        <v>0</v>
      </c>
      <c r="L3140">
        <v>151</v>
      </c>
    </row>
    <row r="3141" spans="1:12">
      <c r="A3141" s="183" t="s">
        <v>735</v>
      </c>
      <c r="B3141" s="183" t="s">
        <v>1018</v>
      </c>
      <c r="C3141">
        <v>30010223</v>
      </c>
      <c r="D3141">
        <v>0</v>
      </c>
      <c r="E3141">
        <v>0</v>
      </c>
      <c r="F3141">
        <v>19</v>
      </c>
      <c r="G3141">
        <v>0</v>
      </c>
      <c r="H3141">
        <v>19</v>
      </c>
      <c r="I3141" s="183" t="s">
        <v>1019</v>
      </c>
      <c r="J3141" s="183" t="s">
        <v>12092</v>
      </c>
      <c r="K3141">
        <v>0</v>
      </c>
      <c r="L3141">
        <v>0</v>
      </c>
    </row>
    <row r="3142" spans="1:12">
      <c r="A3142" s="183" t="s">
        <v>515</v>
      </c>
      <c r="B3142" s="183" t="s">
        <v>1018</v>
      </c>
      <c r="C3142">
        <v>30010230</v>
      </c>
      <c r="D3142">
        <v>0</v>
      </c>
      <c r="E3142">
        <v>0</v>
      </c>
      <c r="F3142">
        <v>17</v>
      </c>
      <c r="G3142">
        <v>0</v>
      </c>
      <c r="H3142">
        <v>17</v>
      </c>
      <c r="I3142" s="183" t="s">
        <v>1019</v>
      </c>
      <c r="J3142" s="183" t="s">
        <v>12061</v>
      </c>
      <c r="K3142">
        <v>0</v>
      </c>
      <c r="L3142">
        <v>0</v>
      </c>
    </row>
    <row r="3143" spans="1:12">
      <c r="A3143" s="183" t="s">
        <v>3768</v>
      </c>
      <c r="B3143" s="183" t="s">
        <v>991</v>
      </c>
      <c r="C3143">
        <v>30020200</v>
      </c>
      <c r="D3143">
        <v>148</v>
      </c>
      <c r="E3143">
        <v>0</v>
      </c>
      <c r="F3143">
        <v>0</v>
      </c>
      <c r="G3143">
        <v>0</v>
      </c>
      <c r="H3143">
        <v>148</v>
      </c>
      <c r="I3143" s="183" t="s">
        <v>992</v>
      </c>
      <c r="J3143" s="183" t="s">
        <v>12055</v>
      </c>
      <c r="K3143">
        <v>0</v>
      </c>
      <c r="L3143">
        <v>148</v>
      </c>
    </row>
    <row r="3144" spans="1:12">
      <c r="A3144" s="183" t="s">
        <v>520</v>
      </c>
      <c r="B3144" s="183" t="s">
        <v>991</v>
      </c>
      <c r="C3144">
        <v>30020206</v>
      </c>
      <c r="D3144">
        <v>39</v>
      </c>
      <c r="E3144">
        <v>0</v>
      </c>
      <c r="F3144">
        <v>55</v>
      </c>
      <c r="G3144">
        <v>0</v>
      </c>
      <c r="H3144">
        <v>94</v>
      </c>
      <c r="I3144" s="183" t="s">
        <v>992</v>
      </c>
      <c r="J3144" s="183" t="s">
        <v>12092</v>
      </c>
      <c r="K3144">
        <v>0</v>
      </c>
      <c r="L3144">
        <v>39</v>
      </c>
    </row>
    <row r="3145" spans="1:12">
      <c r="A3145" s="183" t="s">
        <v>523</v>
      </c>
      <c r="B3145" s="183" t="s">
        <v>991</v>
      </c>
      <c r="C3145">
        <v>30020209</v>
      </c>
      <c r="D3145">
        <v>77</v>
      </c>
      <c r="E3145">
        <v>0</v>
      </c>
      <c r="F3145">
        <v>48</v>
      </c>
      <c r="G3145">
        <v>0</v>
      </c>
      <c r="H3145">
        <v>125</v>
      </c>
      <c r="I3145" s="183" t="s">
        <v>992</v>
      </c>
      <c r="J3145" s="183" t="s">
        <v>12060</v>
      </c>
      <c r="K3145">
        <v>0</v>
      </c>
      <c r="L3145">
        <v>77</v>
      </c>
    </row>
    <row r="3146" spans="1:12">
      <c r="A3146" s="183" t="s">
        <v>738</v>
      </c>
      <c r="B3146" s="183" t="s">
        <v>991</v>
      </c>
      <c r="C3146">
        <v>30020219</v>
      </c>
      <c r="D3146">
        <v>37</v>
      </c>
      <c r="E3146">
        <v>0</v>
      </c>
      <c r="F3146">
        <v>74</v>
      </c>
      <c r="G3146">
        <v>0</v>
      </c>
      <c r="H3146">
        <v>111</v>
      </c>
      <c r="I3146" s="183" t="s">
        <v>992</v>
      </c>
      <c r="J3146" s="183" t="s">
        <v>12052</v>
      </c>
      <c r="K3146">
        <v>0</v>
      </c>
      <c r="L3146">
        <v>37</v>
      </c>
    </row>
    <row r="3147" spans="1:12">
      <c r="A3147" s="183" t="s">
        <v>547</v>
      </c>
      <c r="B3147" s="183" t="s">
        <v>1048</v>
      </c>
      <c r="C3147">
        <v>33010232</v>
      </c>
      <c r="D3147">
        <v>89</v>
      </c>
      <c r="E3147">
        <v>0</v>
      </c>
      <c r="F3147">
        <v>0</v>
      </c>
      <c r="G3147">
        <v>0</v>
      </c>
      <c r="H3147">
        <v>89</v>
      </c>
      <c r="I3147" s="183" t="s">
        <v>1049</v>
      </c>
      <c r="J3147" s="183" t="s">
        <v>12054</v>
      </c>
      <c r="K3147">
        <v>0</v>
      </c>
      <c r="L3147">
        <v>89</v>
      </c>
    </row>
    <row r="3148" spans="1:12">
      <c r="A3148" s="183" t="s">
        <v>742</v>
      </c>
      <c r="B3148" s="183" t="s">
        <v>1056</v>
      </c>
      <c r="C3148">
        <v>33020223</v>
      </c>
      <c r="D3148">
        <v>79</v>
      </c>
      <c r="E3148">
        <v>0</v>
      </c>
      <c r="F3148">
        <v>77</v>
      </c>
      <c r="G3148">
        <v>0</v>
      </c>
      <c r="H3148">
        <v>156</v>
      </c>
      <c r="I3148" s="183" t="s">
        <v>1057</v>
      </c>
      <c r="J3148" s="183" t="s">
        <v>12081</v>
      </c>
      <c r="K3148">
        <v>0</v>
      </c>
      <c r="L3148">
        <v>79</v>
      </c>
    </row>
    <row r="3149" spans="1:12">
      <c r="A3149" s="183" t="s">
        <v>3553</v>
      </c>
      <c r="B3149" s="183" t="s">
        <v>1003</v>
      </c>
      <c r="C3149">
        <v>33040210</v>
      </c>
      <c r="D3149">
        <v>143</v>
      </c>
      <c r="E3149">
        <v>0</v>
      </c>
      <c r="F3149">
        <v>21</v>
      </c>
      <c r="G3149">
        <v>0</v>
      </c>
      <c r="H3149">
        <v>164</v>
      </c>
      <c r="I3149" s="183" t="s">
        <v>1004</v>
      </c>
      <c r="J3149" s="183" t="s">
        <v>12063</v>
      </c>
      <c r="K3149">
        <v>0</v>
      </c>
      <c r="L3149">
        <v>143</v>
      </c>
    </row>
    <row r="3150" spans="1:12">
      <c r="A3150" s="183" t="s">
        <v>563</v>
      </c>
      <c r="B3150" s="183" t="s">
        <v>1003</v>
      </c>
      <c r="C3150">
        <v>33040211</v>
      </c>
      <c r="D3150">
        <v>42</v>
      </c>
      <c r="E3150">
        <v>0</v>
      </c>
      <c r="F3150">
        <v>35</v>
      </c>
      <c r="G3150">
        <v>0</v>
      </c>
      <c r="H3150">
        <v>77</v>
      </c>
      <c r="I3150" s="183" t="s">
        <v>1004</v>
      </c>
      <c r="J3150" s="183" t="s">
        <v>12054</v>
      </c>
      <c r="K3150">
        <v>0</v>
      </c>
      <c r="L3150">
        <v>42</v>
      </c>
    </row>
    <row r="3151" spans="1:12">
      <c r="A3151" s="183" t="s">
        <v>3686</v>
      </c>
      <c r="B3151" s="183" t="s">
        <v>1003</v>
      </c>
      <c r="C3151">
        <v>33040214</v>
      </c>
      <c r="D3151">
        <v>69</v>
      </c>
      <c r="E3151">
        <v>0</v>
      </c>
      <c r="F3151">
        <v>1</v>
      </c>
      <c r="G3151">
        <v>0</v>
      </c>
      <c r="H3151">
        <v>70</v>
      </c>
      <c r="I3151" s="183" t="s">
        <v>1004</v>
      </c>
      <c r="J3151" s="183" t="s">
        <v>12059</v>
      </c>
      <c r="K3151">
        <v>0</v>
      </c>
      <c r="L3151">
        <v>69</v>
      </c>
    </row>
    <row r="3152" spans="1:12">
      <c r="A3152" s="183" t="s">
        <v>3533</v>
      </c>
      <c r="B3152" s="183" t="s">
        <v>1003</v>
      </c>
      <c r="C3152">
        <v>33040216</v>
      </c>
      <c r="D3152">
        <v>35</v>
      </c>
      <c r="E3152">
        <v>0</v>
      </c>
      <c r="F3152">
        <v>8</v>
      </c>
      <c r="G3152">
        <v>0</v>
      </c>
      <c r="H3152">
        <v>43</v>
      </c>
      <c r="I3152" s="183" t="s">
        <v>1004</v>
      </c>
      <c r="J3152" s="183" t="s">
        <v>12067</v>
      </c>
      <c r="K3152">
        <v>0</v>
      </c>
      <c r="L3152">
        <v>35</v>
      </c>
    </row>
    <row r="3153" spans="1:12">
      <c r="A3153" s="183" t="s">
        <v>565</v>
      </c>
      <c r="B3153" s="183" t="s">
        <v>1003</v>
      </c>
      <c r="C3153">
        <v>33040222</v>
      </c>
      <c r="D3153">
        <v>33</v>
      </c>
      <c r="E3153">
        <v>0</v>
      </c>
      <c r="F3153">
        <v>3</v>
      </c>
      <c r="G3153">
        <v>0</v>
      </c>
      <c r="H3153">
        <v>36</v>
      </c>
      <c r="I3153" s="183" t="s">
        <v>1004</v>
      </c>
      <c r="J3153" s="183" t="s">
        <v>12059</v>
      </c>
      <c r="K3153">
        <v>0</v>
      </c>
      <c r="L3153">
        <v>33</v>
      </c>
    </row>
    <row r="3154" spans="1:12">
      <c r="A3154" s="183" t="s">
        <v>745</v>
      </c>
      <c r="B3154" s="183" t="s">
        <v>1003</v>
      </c>
      <c r="C3154">
        <v>33040223</v>
      </c>
      <c r="D3154">
        <v>109</v>
      </c>
      <c r="E3154">
        <v>0</v>
      </c>
      <c r="F3154">
        <v>15</v>
      </c>
      <c r="G3154">
        <v>0</v>
      </c>
      <c r="H3154">
        <v>124</v>
      </c>
      <c r="I3154" s="183" t="s">
        <v>1004</v>
      </c>
      <c r="J3154" s="183" t="s">
        <v>12091</v>
      </c>
      <c r="K3154">
        <v>0</v>
      </c>
      <c r="L3154">
        <v>109</v>
      </c>
    </row>
    <row r="3155" spans="1:12">
      <c r="A3155" s="183" t="s">
        <v>4365</v>
      </c>
      <c r="B3155" s="183" t="s">
        <v>4366</v>
      </c>
      <c r="C3155">
        <v>8800269006247</v>
      </c>
      <c r="D3155">
        <v>170</v>
      </c>
      <c r="E3155">
        <v>0</v>
      </c>
      <c r="F3155">
        <v>0</v>
      </c>
      <c r="G3155">
        <v>0</v>
      </c>
      <c r="H3155">
        <v>170</v>
      </c>
      <c r="I3155" s="183" t="s">
        <v>4355</v>
      </c>
      <c r="J3155" s="183" t="s">
        <v>12048</v>
      </c>
      <c r="K3155">
        <v>0</v>
      </c>
      <c r="L3155">
        <v>170</v>
      </c>
    </row>
    <row r="3156" spans="1:12">
      <c r="A3156" s="183" t="s">
        <v>4367</v>
      </c>
      <c r="B3156" s="183" t="s">
        <v>4368</v>
      </c>
      <c r="C3156">
        <v>8800269006438</v>
      </c>
      <c r="D3156">
        <v>262</v>
      </c>
      <c r="E3156">
        <v>0</v>
      </c>
      <c r="F3156">
        <v>0</v>
      </c>
      <c r="G3156">
        <v>0</v>
      </c>
      <c r="H3156">
        <v>262</v>
      </c>
      <c r="I3156" s="183" t="s">
        <v>4355</v>
      </c>
      <c r="J3156" s="183" t="s">
        <v>12063</v>
      </c>
      <c r="K3156">
        <v>0</v>
      </c>
      <c r="L3156">
        <v>262</v>
      </c>
    </row>
    <row r="3157" spans="1:12">
      <c r="A3157" s="183" t="s">
        <v>4369</v>
      </c>
      <c r="B3157" s="183" t="s">
        <v>4370</v>
      </c>
      <c r="C3157">
        <v>8800269006506</v>
      </c>
      <c r="D3157">
        <v>205</v>
      </c>
      <c r="E3157">
        <v>0</v>
      </c>
      <c r="F3157">
        <v>0</v>
      </c>
      <c r="G3157">
        <v>0</v>
      </c>
      <c r="H3157">
        <v>205</v>
      </c>
      <c r="I3157" s="183" t="s">
        <v>4360</v>
      </c>
      <c r="J3157" s="183" t="s">
        <v>12085</v>
      </c>
      <c r="K3157">
        <v>0</v>
      </c>
      <c r="L3157">
        <v>205</v>
      </c>
    </row>
    <row r="3158" spans="1:12">
      <c r="A3158" s="183" t="s">
        <v>4371</v>
      </c>
      <c r="B3158" s="183" t="s">
        <v>4372</v>
      </c>
      <c r="C3158">
        <v>8800269006520</v>
      </c>
      <c r="D3158">
        <v>176</v>
      </c>
      <c r="E3158">
        <v>0</v>
      </c>
      <c r="F3158">
        <v>0</v>
      </c>
      <c r="G3158">
        <v>0</v>
      </c>
      <c r="H3158">
        <v>176</v>
      </c>
      <c r="I3158" s="183" t="s">
        <v>4360</v>
      </c>
      <c r="J3158" s="183" t="s">
        <v>12095</v>
      </c>
      <c r="K3158">
        <v>0</v>
      </c>
      <c r="L3158">
        <v>176</v>
      </c>
    </row>
    <row r="3159" spans="1:12">
      <c r="A3159" s="183" t="s">
        <v>4373</v>
      </c>
      <c r="B3159" s="183" t="s">
        <v>4372</v>
      </c>
      <c r="C3159">
        <v>8800269006537</v>
      </c>
      <c r="D3159">
        <v>143</v>
      </c>
      <c r="E3159">
        <v>0</v>
      </c>
      <c r="F3159">
        <v>0</v>
      </c>
      <c r="G3159">
        <v>0</v>
      </c>
      <c r="H3159">
        <v>143</v>
      </c>
      <c r="I3159" s="183" t="s">
        <v>4360</v>
      </c>
      <c r="J3159" s="183" t="s">
        <v>12063</v>
      </c>
      <c r="K3159">
        <v>0</v>
      </c>
      <c r="L3159">
        <v>143</v>
      </c>
    </row>
    <row r="3160" spans="1:12">
      <c r="A3160" s="183" t="s">
        <v>4446</v>
      </c>
      <c r="B3160" s="183" t="s">
        <v>4447</v>
      </c>
      <c r="C3160">
        <v>8800269006759</v>
      </c>
      <c r="D3160">
        <v>131</v>
      </c>
      <c r="E3160">
        <v>0</v>
      </c>
      <c r="F3160">
        <v>0</v>
      </c>
      <c r="G3160">
        <v>0</v>
      </c>
      <c r="H3160">
        <v>131</v>
      </c>
      <c r="I3160" s="183" t="s">
        <v>4360</v>
      </c>
      <c r="J3160" s="183" t="s">
        <v>12063</v>
      </c>
      <c r="K3160">
        <v>0</v>
      </c>
      <c r="L3160">
        <v>131</v>
      </c>
    </row>
    <row r="3161" spans="1:12">
      <c r="A3161" s="183" t="s">
        <v>4497</v>
      </c>
      <c r="B3161" s="183" t="s">
        <v>4498</v>
      </c>
      <c r="C3161">
        <v>8800269028041</v>
      </c>
      <c r="D3161">
        <v>474</v>
      </c>
      <c r="E3161">
        <v>0</v>
      </c>
      <c r="F3161">
        <v>0</v>
      </c>
      <c r="G3161">
        <v>0</v>
      </c>
      <c r="H3161">
        <v>474</v>
      </c>
      <c r="I3161" s="183" t="s">
        <v>4499</v>
      </c>
      <c r="J3161" s="183" t="s">
        <v>12067</v>
      </c>
      <c r="K3161">
        <v>0</v>
      </c>
      <c r="L3161">
        <v>474</v>
      </c>
    </row>
    <row r="3162" spans="1:12">
      <c r="A3162" s="183" t="s">
        <v>4500</v>
      </c>
      <c r="B3162" s="183" t="s">
        <v>4501</v>
      </c>
      <c r="C3162">
        <v>8800269028157</v>
      </c>
      <c r="D3162">
        <v>444</v>
      </c>
      <c r="E3162">
        <v>0</v>
      </c>
      <c r="F3162">
        <v>0</v>
      </c>
      <c r="G3162">
        <v>0</v>
      </c>
      <c r="H3162">
        <v>444</v>
      </c>
      <c r="I3162" s="183" t="s">
        <v>4499</v>
      </c>
      <c r="J3162" s="183" t="s">
        <v>12094</v>
      </c>
      <c r="K3162">
        <v>0</v>
      </c>
      <c r="L3162">
        <v>444</v>
      </c>
    </row>
    <row r="3163" spans="1:12">
      <c r="A3163" s="183" t="s">
        <v>4502</v>
      </c>
      <c r="B3163" s="183" t="s">
        <v>4503</v>
      </c>
      <c r="C3163">
        <v>8800269028195</v>
      </c>
      <c r="D3163">
        <v>455</v>
      </c>
      <c r="E3163">
        <v>0</v>
      </c>
      <c r="F3163">
        <v>0</v>
      </c>
      <c r="G3163">
        <v>0</v>
      </c>
      <c r="H3163">
        <v>455</v>
      </c>
      <c r="I3163" s="183" t="s">
        <v>4499</v>
      </c>
      <c r="J3163" s="183" t="s">
        <v>12059</v>
      </c>
      <c r="K3163">
        <v>0</v>
      </c>
      <c r="L3163">
        <v>455</v>
      </c>
    </row>
    <row r="3164" spans="1:12">
      <c r="A3164" s="183" t="s">
        <v>4504</v>
      </c>
      <c r="B3164" s="183" t="s">
        <v>4505</v>
      </c>
      <c r="C3164">
        <v>8800269028232</v>
      </c>
      <c r="D3164">
        <v>476</v>
      </c>
      <c r="E3164">
        <v>0</v>
      </c>
      <c r="F3164">
        <v>0</v>
      </c>
      <c r="G3164">
        <v>0</v>
      </c>
      <c r="H3164">
        <v>476</v>
      </c>
      <c r="I3164" s="183" t="s">
        <v>4499</v>
      </c>
      <c r="J3164" s="183" t="s">
        <v>12087</v>
      </c>
      <c r="K3164">
        <v>0</v>
      </c>
      <c r="L3164">
        <v>476</v>
      </c>
    </row>
    <row r="3165" spans="1:12">
      <c r="A3165" s="183" t="s">
        <v>4506</v>
      </c>
      <c r="B3165" s="183" t="s">
        <v>4507</v>
      </c>
      <c r="C3165">
        <v>8800269028256</v>
      </c>
      <c r="D3165">
        <v>482</v>
      </c>
      <c r="E3165">
        <v>0</v>
      </c>
      <c r="F3165">
        <v>0</v>
      </c>
      <c r="G3165">
        <v>0</v>
      </c>
      <c r="H3165">
        <v>482</v>
      </c>
      <c r="I3165" s="183" t="s">
        <v>4499</v>
      </c>
      <c r="J3165" s="183" t="s">
        <v>12063</v>
      </c>
      <c r="K3165">
        <v>0</v>
      </c>
      <c r="L3165">
        <v>482</v>
      </c>
    </row>
    <row r="3166" spans="1:12">
      <c r="A3166" s="183" t="s">
        <v>4508</v>
      </c>
      <c r="B3166" s="183" t="s">
        <v>4509</v>
      </c>
      <c r="C3166">
        <v>8800269028430</v>
      </c>
      <c r="D3166">
        <v>421</v>
      </c>
      <c r="E3166">
        <v>0</v>
      </c>
      <c r="F3166">
        <v>0</v>
      </c>
      <c r="G3166">
        <v>0</v>
      </c>
      <c r="H3166">
        <v>421</v>
      </c>
      <c r="I3166" s="183" t="s">
        <v>4510</v>
      </c>
      <c r="J3166" s="183" t="s">
        <v>12094</v>
      </c>
      <c r="K3166">
        <v>0</v>
      </c>
      <c r="L3166">
        <v>421</v>
      </c>
    </row>
    <row r="3167" spans="1:12">
      <c r="A3167" s="183" t="s">
        <v>4511</v>
      </c>
      <c r="B3167" s="183" t="s">
        <v>4512</v>
      </c>
      <c r="C3167">
        <v>8800269028461</v>
      </c>
      <c r="D3167">
        <v>438</v>
      </c>
      <c r="E3167">
        <v>0</v>
      </c>
      <c r="F3167">
        <v>0</v>
      </c>
      <c r="G3167">
        <v>0</v>
      </c>
      <c r="H3167">
        <v>438</v>
      </c>
      <c r="I3167" s="183" t="s">
        <v>4510</v>
      </c>
      <c r="J3167" s="183" t="s">
        <v>12081</v>
      </c>
      <c r="K3167">
        <v>0</v>
      </c>
      <c r="L3167">
        <v>438</v>
      </c>
    </row>
    <row r="3168" spans="1:12">
      <c r="A3168" s="183" t="s">
        <v>5953</v>
      </c>
      <c r="B3168" s="183" t="s">
        <v>5893</v>
      </c>
      <c r="C3168">
        <v>8800322956557</v>
      </c>
      <c r="D3168">
        <v>152</v>
      </c>
      <c r="E3168">
        <v>0</v>
      </c>
      <c r="F3168">
        <v>0</v>
      </c>
      <c r="G3168">
        <v>0</v>
      </c>
      <c r="H3168">
        <v>152</v>
      </c>
      <c r="I3168" s="183" t="s">
        <v>5896</v>
      </c>
      <c r="J3168" s="183" t="s">
        <v>12095</v>
      </c>
      <c r="K3168">
        <v>0</v>
      </c>
      <c r="L3168">
        <v>152</v>
      </c>
    </row>
    <row r="3169" spans="1:12">
      <c r="A3169" s="183" t="s">
        <v>5929</v>
      </c>
      <c r="B3169" s="183" t="s">
        <v>5893</v>
      </c>
      <c r="C3169">
        <v>8800322956625</v>
      </c>
      <c r="D3169">
        <v>129</v>
      </c>
      <c r="E3169">
        <v>0</v>
      </c>
      <c r="F3169">
        <v>0</v>
      </c>
      <c r="G3169">
        <v>0</v>
      </c>
      <c r="H3169">
        <v>129</v>
      </c>
      <c r="I3169" s="183" t="s">
        <v>5896</v>
      </c>
      <c r="J3169" s="183" t="s">
        <v>12066</v>
      </c>
      <c r="K3169">
        <v>0</v>
      </c>
      <c r="L3169">
        <v>129</v>
      </c>
    </row>
    <row r="3170" spans="1:12">
      <c r="A3170" s="183" t="s">
        <v>5930</v>
      </c>
      <c r="B3170" s="183" t="s">
        <v>5893</v>
      </c>
      <c r="C3170">
        <v>8800322956748</v>
      </c>
      <c r="D3170">
        <v>90</v>
      </c>
      <c r="E3170">
        <v>0</v>
      </c>
      <c r="F3170">
        <v>0</v>
      </c>
      <c r="G3170">
        <v>0</v>
      </c>
      <c r="H3170">
        <v>90</v>
      </c>
      <c r="I3170" s="183" t="s">
        <v>5896</v>
      </c>
      <c r="J3170" s="183" t="s">
        <v>12095</v>
      </c>
      <c r="K3170">
        <v>0</v>
      </c>
      <c r="L3170">
        <v>90</v>
      </c>
    </row>
    <row r="3171" spans="1:12">
      <c r="A3171" s="183" t="s">
        <v>5931</v>
      </c>
      <c r="B3171" s="183" t="s">
        <v>5894</v>
      </c>
      <c r="C3171">
        <v>8800322956823</v>
      </c>
      <c r="D3171">
        <v>177</v>
      </c>
      <c r="E3171">
        <v>0</v>
      </c>
      <c r="F3171">
        <v>0</v>
      </c>
      <c r="G3171">
        <v>0</v>
      </c>
      <c r="H3171">
        <v>177</v>
      </c>
      <c r="I3171" s="183" t="s">
        <v>5899</v>
      </c>
      <c r="J3171" s="183" t="s">
        <v>12066</v>
      </c>
      <c r="K3171">
        <v>0</v>
      </c>
      <c r="L3171">
        <v>177</v>
      </c>
    </row>
    <row r="3172" spans="1:12">
      <c r="A3172" s="183" t="s">
        <v>6037</v>
      </c>
      <c r="B3172" s="183" t="s">
        <v>5984</v>
      </c>
      <c r="C3172">
        <v>8800322957189</v>
      </c>
      <c r="D3172">
        <v>168</v>
      </c>
      <c r="E3172">
        <v>0</v>
      </c>
      <c r="F3172">
        <v>0</v>
      </c>
      <c r="G3172">
        <v>0</v>
      </c>
      <c r="H3172">
        <v>168</v>
      </c>
      <c r="I3172" s="183" t="s">
        <v>5985</v>
      </c>
      <c r="J3172" s="183" t="s">
        <v>12050</v>
      </c>
      <c r="K3172">
        <v>0</v>
      </c>
      <c r="L3172">
        <v>168</v>
      </c>
    </row>
    <row r="3173" spans="1:12">
      <c r="A3173" s="183" t="s">
        <v>4859</v>
      </c>
      <c r="B3173" s="183" t="s">
        <v>4860</v>
      </c>
      <c r="C3173">
        <v>90189206</v>
      </c>
      <c r="D3173">
        <v>573</v>
      </c>
      <c r="E3173">
        <v>0</v>
      </c>
      <c r="F3173">
        <v>1</v>
      </c>
      <c r="G3173">
        <v>0</v>
      </c>
      <c r="H3173">
        <v>574</v>
      </c>
      <c r="I3173" s="183" t="s">
        <v>1025</v>
      </c>
      <c r="J3173" s="183" t="s">
        <v>12061</v>
      </c>
      <c r="K3173">
        <v>0</v>
      </c>
      <c r="L3173">
        <v>573</v>
      </c>
    </row>
    <row r="3174" spans="1:12">
      <c r="A3174" s="183" t="s">
        <v>5118</v>
      </c>
      <c r="B3174" s="183" t="s">
        <v>5119</v>
      </c>
      <c r="C3174">
        <v>90189213</v>
      </c>
      <c r="D3174" s="501">
        <v>1447</v>
      </c>
      <c r="E3174">
        <v>0</v>
      </c>
      <c r="F3174">
        <v>0</v>
      </c>
      <c r="G3174">
        <v>0</v>
      </c>
      <c r="H3174" s="501">
        <v>1447</v>
      </c>
      <c r="I3174" s="183" t="s">
        <v>1025</v>
      </c>
      <c r="J3174" s="183" t="s">
        <v>12052</v>
      </c>
      <c r="K3174">
        <v>0</v>
      </c>
      <c r="L3174" s="501">
        <v>1447</v>
      </c>
    </row>
    <row r="3175" spans="1:12">
      <c r="A3175" s="183" t="s">
        <v>6219</v>
      </c>
      <c r="B3175" s="183" t="s">
        <v>6220</v>
      </c>
      <c r="C3175">
        <v>90189216</v>
      </c>
      <c r="D3175" s="501">
        <v>1806</v>
      </c>
      <c r="E3175">
        <v>0</v>
      </c>
      <c r="F3175">
        <v>0</v>
      </c>
      <c r="G3175">
        <v>0</v>
      </c>
      <c r="H3175" s="501">
        <v>1806</v>
      </c>
      <c r="I3175" s="183" t="s">
        <v>1025</v>
      </c>
      <c r="J3175" s="183" t="s">
        <v>12066</v>
      </c>
      <c r="K3175">
        <v>0</v>
      </c>
      <c r="L3175" s="501">
        <v>1806</v>
      </c>
    </row>
    <row r="3176" spans="1:12">
      <c r="A3176" s="183" t="s">
        <v>5094</v>
      </c>
      <c r="B3176" s="183" t="s">
        <v>5095</v>
      </c>
      <c r="C3176">
        <v>90179206</v>
      </c>
      <c r="D3176">
        <v>697</v>
      </c>
      <c r="E3176">
        <v>0</v>
      </c>
      <c r="F3176">
        <v>0</v>
      </c>
      <c r="G3176">
        <v>0</v>
      </c>
      <c r="H3176">
        <v>697</v>
      </c>
      <c r="I3176" s="183" t="s">
        <v>1067</v>
      </c>
      <c r="J3176" s="183" t="s">
        <v>12081</v>
      </c>
      <c r="K3176">
        <v>0</v>
      </c>
      <c r="L3176">
        <v>697</v>
      </c>
    </row>
    <row r="3177" spans="1:12">
      <c r="A3177" s="183" t="s">
        <v>5189</v>
      </c>
      <c r="B3177" s="183" t="s">
        <v>5190</v>
      </c>
      <c r="C3177">
        <v>90179214</v>
      </c>
      <c r="D3177">
        <v>860</v>
      </c>
      <c r="E3177">
        <v>0</v>
      </c>
      <c r="F3177">
        <v>0</v>
      </c>
      <c r="G3177">
        <v>0</v>
      </c>
      <c r="H3177">
        <v>860</v>
      </c>
      <c r="I3177" s="183" t="s">
        <v>1067</v>
      </c>
      <c r="J3177" s="183" t="s">
        <v>12095</v>
      </c>
      <c r="K3177">
        <v>0</v>
      </c>
      <c r="L3177">
        <v>860</v>
      </c>
    </row>
    <row r="3178" spans="1:12">
      <c r="A3178" s="183" t="s">
        <v>5231</v>
      </c>
      <c r="B3178" s="183" t="s">
        <v>5232</v>
      </c>
      <c r="C3178">
        <v>90179218</v>
      </c>
      <c r="D3178">
        <v>785</v>
      </c>
      <c r="E3178">
        <v>0</v>
      </c>
      <c r="F3178">
        <v>0</v>
      </c>
      <c r="G3178">
        <v>0</v>
      </c>
      <c r="H3178">
        <v>785</v>
      </c>
      <c r="I3178" s="183" t="s">
        <v>1067</v>
      </c>
      <c r="J3178" s="183" t="s">
        <v>12066</v>
      </c>
      <c r="K3178">
        <v>0</v>
      </c>
      <c r="L3178">
        <v>785</v>
      </c>
    </row>
    <row r="3179" spans="1:12">
      <c r="A3179" s="183" t="s">
        <v>798</v>
      </c>
      <c r="B3179" s="183" t="s">
        <v>1054</v>
      </c>
      <c r="C3179">
        <v>50075180159</v>
      </c>
      <c r="D3179">
        <v>376</v>
      </c>
      <c r="E3179">
        <v>0</v>
      </c>
      <c r="F3179">
        <v>0</v>
      </c>
      <c r="G3179">
        <v>0</v>
      </c>
      <c r="H3179">
        <v>376</v>
      </c>
      <c r="I3179" s="183" t="s">
        <v>1055</v>
      </c>
      <c r="J3179" s="183" t="s">
        <v>12066</v>
      </c>
      <c r="K3179">
        <v>0</v>
      </c>
      <c r="L3179">
        <v>376</v>
      </c>
    </row>
    <row r="3180" spans="1:12">
      <c r="A3180" s="183" t="s">
        <v>799</v>
      </c>
      <c r="B3180" s="183" t="s">
        <v>1054</v>
      </c>
      <c r="C3180">
        <v>50125180159</v>
      </c>
      <c r="D3180">
        <v>376</v>
      </c>
      <c r="E3180">
        <v>0</v>
      </c>
      <c r="F3180">
        <v>0</v>
      </c>
      <c r="G3180">
        <v>0</v>
      </c>
      <c r="H3180">
        <v>376</v>
      </c>
      <c r="I3180" s="183" t="s">
        <v>1055</v>
      </c>
      <c r="J3180" s="183" t="s">
        <v>12094</v>
      </c>
      <c r="K3180">
        <v>0</v>
      </c>
      <c r="L3180">
        <v>376</v>
      </c>
    </row>
    <row r="3181" spans="1:12">
      <c r="A3181" s="183" t="s">
        <v>800</v>
      </c>
      <c r="B3181" s="183" t="s">
        <v>1054</v>
      </c>
      <c r="C3181">
        <v>100125180159</v>
      </c>
      <c r="D3181">
        <v>292</v>
      </c>
      <c r="E3181">
        <v>0</v>
      </c>
      <c r="F3181">
        <v>0</v>
      </c>
      <c r="G3181">
        <v>0</v>
      </c>
      <c r="H3181">
        <v>292</v>
      </c>
      <c r="I3181" s="183" t="s">
        <v>1055</v>
      </c>
      <c r="J3181" s="183" t="s">
        <v>12085</v>
      </c>
      <c r="K3181">
        <v>0</v>
      </c>
      <c r="L3181">
        <v>292</v>
      </c>
    </row>
    <row r="3182" spans="1:12">
      <c r="A3182" s="183" t="s">
        <v>801</v>
      </c>
      <c r="B3182" s="183" t="s">
        <v>1054</v>
      </c>
      <c r="C3182">
        <v>100175180159</v>
      </c>
      <c r="D3182">
        <v>119</v>
      </c>
      <c r="E3182">
        <v>0</v>
      </c>
      <c r="F3182">
        <v>0</v>
      </c>
      <c r="G3182">
        <v>0</v>
      </c>
      <c r="H3182">
        <v>119</v>
      </c>
      <c r="I3182" s="183" t="s">
        <v>1055</v>
      </c>
      <c r="J3182" s="183" t="s">
        <v>12095</v>
      </c>
      <c r="K3182">
        <v>0</v>
      </c>
      <c r="L3182">
        <v>119</v>
      </c>
    </row>
    <row r="3183" spans="1:12">
      <c r="A3183" s="183" t="s">
        <v>802</v>
      </c>
      <c r="B3183" s="183" t="s">
        <v>1054</v>
      </c>
      <c r="C3183">
        <v>225125180159</v>
      </c>
      <c r="D3183">
        <v>29</v>
      </c>
      <c r="E3183">
        <v>0</v>
      </c>
      <c r="F3183">
        <v>0</v>
      </c>
      <c r="G3183">
        <v>0</v>
      </c>
      <c r="H3183">
        <v>29</v>
      </c>
      <c r="I3183" s="183" t="s">
        <v>1055</v>
      </c>
      <c r="J3183" s="183" t="s">
        <v>12087</v>
      </c>
      <c r="K3183">
        <v>0</v>
      </c>
      <c r="L3183">
        <v>29</v>
      </c>
    </row>
    <row r="3184" spans="1:12">
      <c r="A3184" s="183" t="s">
        <v>803</v>
      </c>
      <c r="B3184" s="183" t="s">
        <v>1054</v>
      </c>
      <c r="C3184">
        <v>300075180159</v>
      </c>
      <c r="D3184">
        <v>119</v>
      </c>
      <c r="E3184">
        <v>0</v>
      </c>
      <c r="F3184">
        <v>0</v>
      </c>
      <c r="G3184">
        <v>0</v>
      </c>
      <c r="H3184">
        <v>119</v>
      </c>
      <c r="I3184" s="183" t="s">
        <v>1055</v>
      </c>
      <c r="J3184" s="183" t="s">
        <v>12048</v>
      </c>
      <c r="K3184">
        <v>0</v>
      </c>
      <c r="L3184">
        <v>119</v>
      </c>
    </row>
    <row r="3185" spans="1:12">
      <c r="A3185" s="183" t="s">
        <v>4757</v>
      </c>
      <c r="B3185" s="183" t="s">
        <v>1054</v>
      </c>
      <c r="C3185">
        <v>325175180159</v>
      </c>
      <c r="D3185">
        <v>57</v>
      </c>
      <c r="E3185">
        <v>0</v>
      </c>
      <c r="F3185">
        <v>0</v>
      </c>
      <c r="G3185">
        <v>0</v>
      </c>
      <c r="H3185">
        <v>57</v>
      </c>
      <c r="I3185" s="183" t="s">
        <v>1055</v>
      </c>
      <c r="J3185" s="183" t="s">
        <v>12092</v>
      </c>
      <c r="K3185">
        <v>0</v>
      </c>
      <c r="L3185">
        <v>57</v>
      </c>
    </row>
    <row r="3186" spans="1:12">
      <c r="A3186" s="183" t="s">
        <v>804</v>
      </c>
      <c r="B3186" s="183" t="s">
        <v>1054</v>
      </c>
      <c r="C3186">
        <v>350075180159</v>
      </c>
      <c r="D3186">
        <v>227</v>
      </c>
      <c r="E3186">
        <v>0</v>
      </c>
      <c r="F3186">
        <v>0</v>
      </c>
      <c r="G3186">
        <v>0</v>
      </c>
      <c r="H3186">
        <v>227</v>
      </c>
      <c r="I3186" s="183" t="s">
        <v>1055</v>
      </c>
      <c r="J3186" s="183" t="s">
        <v>12085</v>
      </c>
      <c r="K3186">
        <v>0</v>
      </c>
      <c r="L3186">
        <v>227</v>
      </c>
    </row>
    <row r="3187" spans="1:12">
      <c r="A3187" s="183" t="s">
        <v>5783</v>
      </c>
      <c r="B3187" s="183" t="s">
        <v>1054</v>
      </c>
      <c r="C3187">
        <v>600175180159</v>
      </c>
      <c r="D3187">
        <v>210</v>
      </c>
      <c r="E3187">
        <v>0</v>
      </c>
      <c r="F3187">
        <v>0</v>
      </c>
      <c r="G3187">
        <v>0</v>
      </c>
      <c r="H3187">
        <v>210</v>
      </c>
      <c r="I3187" s="183" t="s">
        <v>1055</v>
      </c>
      <c r="J3187" s="183" t="s">
        <v>12092</v>
      </c>
      <c r="K3187">
        <v>0</v>
      </c>
      <c r="L3187">
        <v>210</v>
      </c>
    </row>
    <row r="3188" spans="1:12">
      <c r="A3188" s="183" t="s">
        <v>805</v>
      </c>
      <c r="B3188" s="183" t="s">
        <v>1054</v>
      </c>
      <c r="C3188">
        <v>750075180159</v>
      </c>
      <c r="D3188">
        <v>372</v>
      </c>
      <c r="E3188">
        <v>0</v>
      </c>
      <c r="F3188">
        <v>0</v>
      </c>
      <c r="G3188">
        <v>0</v>
      </c>
      <c r="H3188">
        <v>372</v>
      </c>
      <c r="I3188" s="183" t="s">
        <v>1055</v>
      </c>
      <c r="J3188" s="183" t="s">
        <v>12053</v>
      </c>
      <c r="K3188">
        <v>0</v>
      </c>
      <c r="L3188">
        <v>372</v>
      </c>
    </row>
    <row r="3189" spans="1:12">
      <c r="A3189" s="183" t="s">
        <v>3839</v>
      </c>
      <c r="B3189" s="183" t="s">
        <v>3840</v>
      </c>
      <c r="C3189">
        <v>64000200</v>
      </c>
      <c r="D3189">
        <v>414</v>
      </c>
      <c r="E3189">
        <v>0</v>
      </c>
      <c r="F3189">
        <v>0</v>
      </c>
      <c r="G3189">
        <v>0</v>
      </c>
      <c r="H3189">
        <v>414</v>
      </c>
      <c r="I3189" s="183" t="s">
        <v>1000</v>
      </c>
      <c r="J3189" s="183" t="s">
        <v>12081</v>
      </c>
      <c r="K3189">
        <v>0</v>
      </c>
      <c r="L3189">
        <v>414</v>
      </c>
    </row>
    <row r="3190" spans="1:12">
      <c r="A3190" s="183" t="s">
        <v>1167</v>
      </c>
      <c r="B3190" s="183" t="s">
        <v>1168</v>
      </c>
      <c r="C3190">
        <v>64000203</v>
      </c>
      <c r="D3190">
        <v>15</v>
      </c>
      <c r="E3190">
        <v>0</v>
      </c>
      <c r="F3190">
        <v>15</v>
      </c>
      <c r="G3190">
        <v>0</v>
      </c>
      <c r="H3190">
        <v>30</v>
      </c>
      <c r="I3190" s="183" t="s">
        <v>1000</v>
      </c>
      <c r="J3190" s="183" t="s">
        <v>12053</v>
      </c>
      <c r="K3190">
        <v>0</v>
      </c>
      <c r="L3190">
        <v>15</v>
      </c>
    </row>
    <row r="3191" spans="1:12">
      <c r="A3191" s="183" t="s">
        <v>4454</v>
      </c>
      <c r="B3191" s="183" t="s">
        <v>4455</v>
      </c>
      <c r="C3191">
        <v>64000206</v>
      </c>
      <c r="D3191">
        <v>179</v>
      </c>
      <c r="E3191">
        <v>0</v>
      </c>
      <c r="F3191">
        <v>0</v>
      </c>
      <c r="G3191">
        <v>0</v>
      </c>
      <c r="H3191">
        <v>179</v>
      </c>
      <c r="I3191" s="183" t="s">
        <v>1000</v>
      </c>
      <c r="J3191" s="183" t="s">
        <v>12092</v>
      </c>
      <c r="K3191">
        <v>0</v>
      </c>
      <c r="L3191">
        <v>179</v>
      </c>
    </row>
    <row r="3192" spans="1:12">
      <c r="A3192" s="183" t="s">
        <v>6175</v>
      </c>
      <c r="B3192" s="183" t="s">
        <v>6176</v>
      </c>
      <c r="C3192">
        <v>64000212</v>
      </c>
      <c r="D3192">
        <v>120</v>
      </c>
      <c r="E3192">
        <v>0</v>
      </c>
      <c r="F3192">
        <v>0</v>
      </c>
      <c r="G3192">
        <v>0</v>
      </c>
      <c r="H3192">
        <v>120</v>
      </c>
      <c r="I3192" s="183" t="s">
        <v>1000</v>
      </c>
      <c r="J3192" s="183" t="s">
        <v>12087</v>
      </c>
      <c r="K3192">
        <v>0</v>
      </c>
      <c r="L3192">
        <v>120</v>
      </c>
    </row>
    <row r="3193" spans="1:12">
      <c r="A3193" s="183" t="s">
        <v>4456</v>
      </c>
      <c r="B3193" s="183" t="s">
        <v>4457</v>
      </c>
      <c r="C3193">
        <v>64000215</v>
      </c>
      <c r="D3193">
        <v>95</v>
      </c>
      <c r="E3193">
        <v>0</v>
      </c>
      <c r="F3193">
        <v>0</v>
      </c>
      <c r="G3193">
        <v>0</v>
      </c>
      <c r="H3193">
        <v>95</v>
      </c>
      <c r="I3193" s="183" t="s">
        <v>1000</v>
      </c>
      <c r="J3193" s="183" t="s">
        <v>12059</v>
      </c>
      <c r="K3193">
        <v>0</v>
      </c>
      <c r="L3193">
        <v>95</v>
      </c>
    </row>
    <row r="3194" spans="1:12">
      <c r="A3194" s="183" t="s">
        <v>1171</v>
      </c>
      <c r="B3194" s="183" t="s">
        <v>1172</v>
      </c>
      <c r="C3194">
        <v>64000220</v>
      </c>
      <c r="D3194">
        <v>142</v>
      </c>
      <c r="E3194">
        <v>0</v>
      </c>
      <c r="F3194">
        <v>0</v>
      </c>
      <c r="G3194">
        <v>0</v>
      </c>
      <c r="H3194">
        <v>142</v>
      </c>
      <c r="I3194" s="183" t="s">
        <v>1000</v>
      </c>
      <c r="J3194" s="183" t="s">
        <v>12081</v>
      </c>
      <c r="K3194">
        <v>0</v>
      </c>
      <c r="L3194">
        <v>142</v>
      </c>
    </row>
    <row r="3195" spans="1:12">
      <c r="A3195" s="183" t="s">
        <v>365</v>
      </c>
      <c r="B3195" s="183" t="s">
        <v>1275</v>
      </c>
      <c r="C3195">
        <v>63010207</v>
      </c>
      <c r="D3195">
        <v>369</v>
      </c>
      <c r="E3195">
        <v>0</v>
      </c>
      <c r="F3195">
        <v>0</v>
      </c>
      <c r="G3195">
        <v>0</v>
      </c>
      <c r="H3195">
        <v>369</v>
      </c>
      <c r="I3195" s="183" t="s">
        <v>988</v>
      </c>
      <c r="J3195" s="183" t="s">
        <v>12087</v>
      </c>
      <c r="K3195">
        <v>0</v>
      </c>
      <c r="L3195">
        <v>369</v>
      </c>
    </row>
    <row r="3196" spans="1:12">
      <c r="A3196" s="183" t="s">
        <v>715</v>
      </c>
      <c r="B3196" s="183" t="s">
        <v>1276</v>
      </c>
      <c r="C3196">
        <v>63010210</v>
      </c>
      <c r="D3196">
        <v>143</v>
      </c>
      <c r="E3196">
        <v>0</v>
      </c>
      <c r="F3196">
        <v>0</v>
      </c>
      <c r="G3196">
        <v>0</v>
      </c>
      <c r="H3196">
        <v>143</v>
      </c>
      <c r="I3196" s="183" t="s">
        <v>988</v>
      </c>
      <c r="J3196" s="183" t="s">
        <v>12067</v>
      </c>
      <c r="K3196">
        <v>0</v>
      </c>
      <c r="L3196">
        <v>143</v>
      </c>
    </row>
    <row r="3197" spans="1:12">
      <c r="A3197" s="183" t="s">
        <v>366</v>
      </c>
      <c r="B3197" s="183" t="s">
        <v>1071</v>
      </c>
      <c r="C3197">
        <v>63010211</v>
      </c>
      <c r="D3197">
        <v>289</v>
      </c>
      <c r="E3197">
        <v>0</v>
      </c>
      <c r="F3197">
        <v>1</v>
      </c>
      <c r="G3197">
        <v>0</v>
      </c>
      <c r="H3197">
        <v>290</v>
      </c>
      <c r="I3197" s="183" t="s">
        <v>988</v>
      </c>
      <c r="J3197" s="183" t="s">
        <v>12095</v>
      </c>
      <c r="K3197">
        <v>0</v>
      </c>
      <c r="L3197">
        <v>289</v>
      </c>
    </row>
    <row r="3198" spans="1:12">
      <c r="A3198" s="183" t="s">
        <v>369</v>
      </c>
      <c r="B3198" s="183" t="s">
        <v>1373</v>
      </c>
      <c r="C3198">
        <v>63010218</v>
      </c>
      <c r="D3198">
        <v>345</v>
      </c>
      <c r="E3198">
        <v>0</v>
      </c>
      <c r="F3198">
        <v>0</v>
      </c>
      <c r="G3198">
        <v>0</v>
      </c>
      <c r="H3198">
        <v>345</v>
      </c>
      <c r="I3198" s="183" t="s">
        <v>988</v>
      </c>
      <c r="J3198" s="183" t="s">
        <v>12094</v>
      </c>
      <c r="K3198">
        <v>0</v>
      </c>
      <c r="L3198">
        <v>345</v>
      </c>
    </row>
    <row r="3199" spans="1:12">
      <c r="A3199" s="183" t="s">
        <v>716</v>
      </c>
      <c r="B3199" s="183" t="s">
        <v>1170</v>
      </c>
      <c r="C3199">
        <v>90180203</v>
      </c>
      <c r="D3199">
        <v>264</v>
      </c>
      <c r="E3199">
        <v>0</v>
      </c>
      <c r="F3199">
        <v>0</v>
      </c>
      <c r="G3199">
        <v>0</v>
      </c>
      <c r="H3199">
        <v>264</v>
      </c>
      <c r="I3199" s="183" t="s">
        <v>1020</v>
      </c>
      <c r="J3199" s="183" t="s">
        <v>12081</v>
      </c>
      <c r="K3199">
        <v>0</v>
      </c>
      <c r="L3199">
        <v>264</v>
      </c>
    </row>
    <row r="3200" spans="1:12">
      <c r="A3200" s="183" t="s">
        <v>5138</v>
      </c>
      <c r="B3200" s="183" t="s">
        <v>5139</v>
      </c>
      <c r="C3200">
        <v>90180213</v>
      </c>
      <c r="D3200">
        <v>596</v>
      </c>
      <c r="E3200">
        <v>0</v>
      </c>
      <c r="F3200">
        <v>0</v>
      </c>
      <c r="G3200">
        <v>0</v>
      </c>
      <c r="H3200">
        <v>596</v>
      </c>
      <c r="I3200" s="183" t="s">
        <v>1020</v>
      </c>
      <c r="J3200" s="183" t="s">
        <v>12053</v>
      </c>
      <c r="K3200">
        <v>0</v>
      </c>
      <c r="L3200">
        <v>596</v>
      </c>
    </row>
    <row r="3201" spans="1:12">
      <c r="A3201" s="183" t="s">
        <v>4646</v>
      </c>
      <c r="B3201" s="183" t="s">
        <v>4647</v>
      </c>
      <c r="C3201">
        <v>90180216</v>
      </c>
      <c r="D3201">
        <v>101</v>
      </c>
      <c r="E3201">
        <v>0</v>
      </c>
      <c r="F3201">
        <v>0</v>
      </c>
      <c r="G3201">
        <v>0</v>
      </c>
      <c r="H3201">
        <v>101</v>
      </c>
      <c r="I3201" s="183" t="s">
        <v>1020</v>
      </c>
      <c r="J3201" s="183" t="s">
        <v>12067</v>
      </c>
      <c r="K3201">
        <v>0</v>
      </c>
      <c r="L3201">
        <v>101</v>
      </c>
    </row>
    <row r="3202" spans="1:12">
      <c r="A3202" s="183" t="s">
        <v>5120</v>
      </c>
      <c r="B3202" s="183" t="s">
        <v>5121</v>
      </c>
      <c r="C3202">
        <v>90180217</v>
      </c>
      <c r="D3202">
        <v>341</v>
      </c>
      <c r="E3202">
        <v>0</v>
      </c>
      <c r="F3202">
        <v>0</v>
      </c>
      <c r="G3202">
        <v>0</v>
      </c>
      <c r="H3202">
        <v>341</v>
      </c>
      <c r="I3202" s="183" t="s">
        <v>1020</v>
      </c>
      <c r="J3202" s="183" t="s">
        <v>12063</v>
      </c>
      <c r="K3202">
        <v>0</v>
      </c>
      <c r="L3202">
        <v>341</v>
      </c>
    </row>
    <row r="3203" spans="1:12">
      <c r="A3203" s="183" t="s">
        <v>3207</v>
      </c>
      <c r="B3203" s="183" t="s">
        <v>3208</v>
      </c>
      <c r="C3203">
        <v>90180218</v>
      </c>
      <c r="D3203">
        <v>442</v>
      </c>
      <c r="E3203">
        <v>0</v>
      </c>
      <c r="F3203">
        <v>0</v>
      </c>
      <c r="G3203">
        <v>0</v>
      </c>
      <c r="H3203">
        <v>442</v>
      </c>
      <c r="I3203" s="183" t="s">
        <v>1020</v>
      </c>
      <c r="J3203" s="183" t="s">
        <v>12093</v>
      </c>
      <c r="K3203">
        <v>0</v>
      </c>
      <c r="L3203">
        <v>442</v>
      </c>
    </row>
    <row r="3204" spans="1:12">
      <c r="A3204" s="183" t="s">
        <v>3076</v>
      </c>
      <c r="B3204" s="183" t="s">
        <v>3077</v>
      </c>
      <c r="C3204">
        <v>90180234</v>
      </c>
      <c r="D3204">
        <v>78</v>
      </c>
      <c r="E3204">
        <v>0</v>
      </c>
      <c r="F3204">
        <v>0</v>
      </c>
      <c r="G3204">
        <v>0</v>
      </c>
      <c r="H3204">
        <v>78</v>
      </c>
      <c r="I3204" s="183" t="s">
        <v>1020</v>
      </c>
      <c r="J3204" s="183" t="s">
        <v>12095</v>
      </c>
      <c r="K3204">
        <v>0</v>
      </c>
      <c r="L3204">
        <v>78</v>
      </c>
    </row>
    <row r="3205" spans="1:12">
      <c r="A3205" s="183" t="s">
        <v>5732</v>
      </c>
      <c r="B3205" s="183" t="s">
        <v>8644</v>
      </c>
      <c r="C3205">
        <v>8800322942956</v>
      </c>
      <c r="D3205">
        <v>622</v>
      </c>
      <c r="E3205">
        <v>0</v>
      </c>
      <c r="F3205">
        <v>0</v>
      </c>
      <c r="G3205">
        <v>0</v>
      </c>
      <c r="H3205">
        <v>622</v>
      </c>
      <c r="I3205" s="183" t="s">
        <v>5710</v>
      </c>
      <c r="J3205" s="183" t="s">
        <v>12066</v>
      </c>
      <c r="K3205">
        <v>0</v>
      </c>
      <c r="L3205">
        <v>622</v>
      </c>
    </row>
    <row r="3206" spans="1:12">
      <c r="A3206" s="183" t="s">
        <v>6425</v>
      </c>
      <c r="B3206" s="183" t="s">
        <v>8644</v>
      </c>
      <c r="C3206">
        <v>8800322943120</v>
      </c>
      <c r="D3206">
        <v>622</v>
      </c>
      <c r="E3206">
        <v>0</v>
      </c>
      <c r="F3206">
        <v>0</v>
      </c>
      <c r="G3206">
        <v>0</v>
      </c>
      <c r="H3206">
        <v>622</v>
      </c>
      <c r="I3206" s="183" t="s">
        <v>5710</v>
      </c>
      <c r="J3206" s="183" t="s">
        <v>12048</v>
      </c>
      <c r="K3206">
        <v>0</v>
      </c>
      <c r="L3206">
        <v>622</v>
      </c>
    </row>
    <row r="3207" spans="1:12">
      <c r="A3207" s="183" t="s">
        <v>5733</v>
      </c>
      <c r="B3207" s="183" t="s">
        <v>8646</v>
      </c>
      <c r="C3207">
        <v>8800322943281</v>
      </c>
      <c r="D3207">
        <v>571</v>
      </c>
      <c r="E3207">
        <v>0</v>
      </c>
      <c r="F3207">
        <v>0</v>
      </c>
      <c r="G3207">
        <v>0</v>
      </c>
      <c r="H3207">
        <v>571</v>
      </c>
      <c r="I3207" s="183" t="s">
        <v>5720</v>
      </c>
      <c r="J3207" s="183" t="s">
        <v>12057</v>
      </c>
      <c r="K3207">
        <v>0</v>
      </c>
      <c r="L3207">
        <v>571</v>
      </c>
    </row>
    <row r="3208" spans="1:12">
      <c r="A3208" s="183" t="s">
        <v>5846</v>
      </c>
      <c r="B3208" s="183" t="s">
        <v>8646</v>
      </c>
      <c r="C3208">
        <v>8800322943397</v>
      </c>
      <c r="D3208">
        <v>652</v>
      </c>
      <c r="E3208">
        <v>0</v>
      </c>
      <c r="F3208">
        <v>0</v>
      </c>
      <c r="G3208">
        <v>0</v>
      </c>
      <c r="H3208">
        <v>652</v>
      </c>
      <c r="I3208" s="183" t="s">
        <v>5720</v>
      </c>
      <c r="J3208" s="183" t="s">
        <v>12063</v>
      </c>
      <c r="K3208">
        <v>0</v>
      </c>
      <c r="L3208">
        <v>652</v>
      </c>
    </row>
    <row r="3209" spans="1:12">
      <c r="A3209" s="183" t="s">
        <v>5847</v>
      </c>
      <c r="B3209" s="183" t="s">
        <v>8646</v>
      </c>
      <c r="C3209">
        <v>8800322943403</v>
      </c>
      <c r="D3209">
        <v>597</v>
      </c>
      <c r="E3209">
        <v>0</v>
      </c>
      <c r="F3209">
        <v>0</v>
      </c>
      <c r="G3209">
        <v>0</v>
      </c>
      <c r="H3209">
        <v>597</v>
      </c>
      <c r="I3209" s="183" t="s">
        <v>5720</v>
      </c>
      <c r="J3209" s="183" t="s">
        <v>12055</v>
      </c>
      <c r="K3209">
        <v>0</v>
      </c>
      <c r="L3209">
        <v>597</v>
      </c>
    </row>
    <row r="3210" spans="1:12">
      <c r="A3210" s="183" t="s">
        <v>5734</v>
      </c>
      <c r="B3210" s="183" t="s">
        <v>8645</v>
      </c>
      <c r="C3210">
        <v>8800322943571</v>
      </c>
      <c r="D3210">
        <v>594</v>
      </c>
      <c r="E3210">
        <v>0</v>
      </c>
      <c r="F3210">
        <v>0</v>
      </c>
      <c r="G3210">
        <v>0</v>
      </c>
      <c r="H3210">
        <v>594</v>
      </c>
      <c r="I3210" s="183" t="s">
        <v>5712</v>
      </c>
      <c r="J3210" s="183" t="s">
        <v>12095</v>
      </c>
      <c r="K3210">
        <v>0</v>
      </c>
      <c r="L3210">
        <v>594</v>
      </c>
    </row>
    <row r="3211" spans="1:12">
      <c r="A3211" s="183" t="s">
        <v>6353</v>
      </c>
      <c r="B3211" s="183" t="s">
        <v>6354</v>
      </c>
      <c r="C3211">
        <v>80172210</v>
      </c>
      <c r="D3211">
        <v>366</v>
      </c>
      <c r="E3211">
        <v>0</v>
      </c>
      <c r="F3211">
        <v>0</v>
      </c>
      <c r="G3211">
        <v>0</v>
      </c>
      <c r="H3211">
        <v>366</v>
      </c>
      <c r="I3211" s="183" t="s">
        <v>1058</v>
      </c>
      <c r="J3211" s="183" t="s">
        <v>12055</v>
      </c>
      <c r="K3211">
        <v>0</v>
      </c>
      <c r="L3211">
        <v>366</v>
      </c>
    </row>
    <row r="3212" spans="1:12">
      <c r="A3212" s="183" t="s">
        <v>6373</v>
      </c>
      <c r="B3212" s="183" t="s">
        <v>6374</v>
      </c>
      <c r="C3212">
        <v>80172212</v>
      </c>
      <c r="D3212">
        <v>285</v>
      </c>
      <c r="E3212">
        <v>0</v>
      </c>
      <c r="F3212">
        <v>1</v>
      </c>
      <c r="G3212">
        <v>0</v>
      </c>
      <c r="H3212">
        <v>286</v>
      </c>
      <c r="I3212" s="183" t="s">
        <v>1058</v>
      </c>
      <c r="J3212" s="183" t="s">
        <v>12048</v>
      </c>
      <c r="K3212">
        <v>0</v>
      </c>
      <c r="L3212">
        <v>285</v>
      </c>
    </row>
    <row r="3213" spans="1:12">
      <c r="A3213" s="183" t="s">
        <v>6370</v>
      </c>
      <c r="B3213" s="183" t="s">
        <v>6371</v>
      </c>
      <c r="C3213">
        <v>80172217</v>
      </c>
      <c r="D3213">
        <v>352</v>
      </c>
      <c r="E3213">
        <v>0</v>
      </c>
      <c r="F3213">
        <v>0</v>
      </c>
      <c r="G3213">
        <v>0</v>
      </c>
      <c r="H3213">
        <v>352</v>
      </c>
      <c r="I3213" s="183" t="s">
        <v>1058</v>
      </c>
      <c r="J3213" s="183" t="s">
        <v>12054</v>
      </c>
      <c r="K3213">
        <v>0</v>
      </c>
      <c r="L3213">
        <v>352</v>
      </c>
    </row>
    <row r="3214" spans="1:12">
      <c r="A3214" s="183" t="s">
        <v>6242</v>
      </c>
      <c r="B3214" s="183" t="s">
        <v>6243</v>
      </c>
      <c r="C3214">
        <v>80172219</v>
      </c>
      <c r="D3214">
        <v>325</v>
      </c>
      <c r="E3214">
        <v>0</v>
      </c>
      <c r="F3214">
        <v>0</v>
      </c>
      <c r="G3214">
        <v>0</v>
      </c>
      <c r="H3214">
        <v>325</v>
      </c>
      <c r="I3214" s="183" t="s">
        <v>1058</v>
      </c>
      <c r="J3214" s="183" t="s">
        <v>12087</v>
      </c>
      <c r="K3214">
        <v>0</v>
      </c>
      <c r="L3214">
        <v>325</v>
      </c>
    </row>
    <row r="3215" spans="1:12">
      <c r="A3215" s="183" t="s">
        <v>396</v>
      </c>
      <c r="B3215" s="183" t="s">
        <v>397</v>
      </c>
      <c r="C3215">
        <v>80172240</v>
      </c>
      <c r="D3215">
        <v>63</v>
      </c>
      <c r="E3215">
        <v>0</v>
      </c>
      <c r="F3215">
        <v>0</v>
      </c>
      <c r="G3215">
        <v>0</v>
      </c>
      <c r="H3215">
        <v>63</v>
      </c>
      <c r="I3215" s="183" t="s">
        <v>1058</v>
      </c>
      <c r="J3215" s="183" t="s">
        <v>12054</v>
      </c>
      <c r="K3215">
        <v>0</v>
      </c>
      <c r="L3215">
        <v>63</v>
      </c>
    </row>
    <row r="3216" spans="1:12">
      <c r="A3216" s="183" t="s">
        <v>693</v>
      </c>
      <c r="B3216" s="183" t="s">
        <v>687</v>
      </c>
      <c r="C3216">
        <v>80172246</v>
      </c>
      <c r="D3216">
        <v>144</v>
      </c>
      <c r="E3216">
        <v>0</v>
      </c>
      <c r="F3216">
        <v>1</v>
      </c>
      <c r="G3216">
        <v>0</v>
      </c>
      <c r="H3216">
        <v>145</v>
      </c>
      <c r="I3216" s="183" t="s">
        <v>1058</v>
      </c>
      <c r="J3216" s="183" t="s">
        <v>12092</v>
      </c>
      <c r="K3216">
        <v>0</v>
      </c>
      <c r="L3216">
        <v>144</v>
      </c>
    </row>
    <row r="3217" spans="1:12">
      <c r="A3217" s="183" t="s">
        <v>694</v>
      </c>
      <c r="B3217" s="183" t="s">
        <v>688</v>
      </c>
      <c r="C3217">
        <v>80172248</v>
      </c>
      <c r="D3217">
        <v>158</v>
      </c>
      <c r="E3217">
        <v>0</v>
      </c>
      <c r="F3217">
        <v>0</v>
      </c>
      <c r="G3217">
        <v>0</v>
      </c>
      <c r="H3217">
        <v>158</v>
      </c>
      <c r="I3217" s="183" t="s">
        <v>1058</v>
      </c>
      <c r="J3217" s="183" t="s">
        <v>12057</v>
      </c>
      <c r="K3217">
        <v>0</v>
      </c>
      <c r="L3217">
        <v>158</v>
      </c>
    </row>
    <row r="3218" spans="1:12">
      <c r="A3218" s="183" t="s">
        <v>5154</v>
      </c>
      <c r="B3218" s="183" t="s">
        <v>5155</v>
      </c>
      <c r="C3218">
        <v>90180222</v>
      </c>
      <c r="D3218">
        <v>486</v>
      </c>
      <c r="E3218">
        <v>0</v>
      </c>
      <c r="F3218">
        <v>0</v>
      </c>
      <c r="G3218">
        <v>0</v>
      </c>
      <c r="H3218">
        <v>486</v>
      </c>
      <c r="I3218" s="183" t="s">
        <v>1020</v>
      </c>
      <c r="J3218" s="183" t="s">
        <v>12093</v>
      </c>
      <c r="K3218">
        <v>0</v>
      </c>
      <c r="L3218">
        <v>486</v>
      </c>
    </row>
    <row r="3219" spans="1:12">
      <c r="A3219" s="183" t="s">
        <v>3823</v>
      </c>
      <c r="B3219" s="183" t="s">
        <v>3824</v>
      </c>
      <c r="C3219">
        <v>90180232</v>
      </c>
      <c r="D3219">
        <v>273</v>
      </c>
      <c r="E3219">
        <v>0</v>
      </c>
      <c r="F3219">
        <v>0</v>
      </c>
      <c r="G3219">
        <v>0</v>
      </c>
      <c r="H3219">
        <v>273</v>
      </c>
      <c r="I3219" s="183" t="s">
        <v>1020</v>
      </c>
      <c r="J3219" s="183" t="s">
        <v>12094</v>
      </c>
      <c r="K3219">
        <v>0</v>
      </c>
      <c r="L3219">
        <v>273</v>
      </c>
    </row>
    <row r="3220" spans="1:12">
      <c r="A3220" s="183" t="s">
        <v>5716</v>
      </c>
      <c r="B3220" s="183" t="s">
        <v>8644</v>
      </c>
      <c r="C3220">
        <v>8800322942994</v>
      </c>
      <c r="D3220" s="501">
        <v>1141</v>
      </c>
      <c r="E3220">
        <v>0</v>
      </c>
      <c r="F3220">
        <v>0</v>
      </c>
      <c r="G3220">
        <v>0</v>
      </c>
      <c r="H3220" s="501">
        <v>1141</v>
      </c>
      <c r="I3220" s="183" t="s">
        <v>5710</v>
      </c>
      <c r="J3220" s="183" t="s">
        <v>12050</v>
      </c>
      <c r="K3220">
        <v>0</v>
      </c>
      <c r="L3220" s="501">
        <v>1141</v>
      </c>
    </row>
    <row r="3221" spans="1:12">
      <c r="A3221" s="183" t="s">
        <v>5717</v>
      </c>
      <c r="B3221" s="183" t="s">
        <v>8644</v>
      </c>
      <c r="C3221">
        <v>8800322943069</v>
      </c>
      <c r="D3221">
        <v>584</v>
      </c>
      <c r="E3221">
        <v>0</v>
      </c>
      <c r="F3221">
        <v>0</v>
      </c>
      <c r="G3221">
        <v>0</v>
      </c>
      <c r="H3221">
        <v>584</v>
      </c>
      <c r="I3221" s="183" t="s">
        <v>5710</v>
      </c>
      <c r="J3221" s="183" t="s">
        <v>12048</v>
      </c>
      <c r="K3221">
        <v>0</v>
      </c>
      <c r="L3221">
        <v>584</v>
      </c>
    </row>
    <row r="3222" spans="1:12">
      <c r="A3222" s="183" t="s">
        <v>5718</v>
      </c>
      <c r="B3222" s="183" t="s">
        <v>8644</v>
      </c>
      <c r="C3222">
        <v>8800322943090</v>
      </c>
      <c r="D3222">
        <v>593</v>
      </c>
      <c r="E3222">
        <v>0</v>
      </c>
      <c r="F3222">
        <v>0</v>
      </c>
      <c r="G3222">
        <v>0</v>
      </c>
      <c r="H3222">
        <v>593</v>
      </c>
      <c r="I3222" s="183" t="s">
        <v>5710</v>
      </c>
      <c r="J3222" s="183" t="s">
        <v>12048</v>
      </c>
      <c r="K3222">
        <v>0</v>
      </c>
      <c r="L3222">
        <v>593</v>
      </c>
    </row>
    <row r="3223" spans="1:12">
      <c r="A3223" s="183" t="s">
        <v>5855</v>
      </c>
      <c r="B3223" s="183" t="s">
        <v>8646</v>
      </c>
      <c r="C3223">
        <v>8800322943182</v>
      </c>
      <c r="D3223">
        <v>554</v>
      </c>
      <c r="E3223">
        <v>0</v>
      </c>
      <c r="F3223">
        <v>1</v>
      </c>
      <c r="G3223">
        <v>0</v>
      </c>
      <c r="H3223">
        <v>555</v>
      </c>
      <c r="I3223" s="183" t="s">
        <v>5720</v>
      </c>
      <c r="J3223" s="183" t="s">
        <v>12066</v>
      </c>
      <c r="K3223">
        <v>0</v>
      </c>
      <c r="L3223">
        <v>554</v>
      </c>
    </row>
    <row r="3224" spans="1:12">
      <c r="A3224" s="183" t="s">
        <v>5856</v>
      </c>
      <c r="B3224" s="183" t="s">
        <v>8646</v>
      </c>
      <c r="C3224">
        <v>8800322943205</v>
      </c>
      <c r="D3224">
        <v>555</v>
      </c>
      <c r="E3224">
        <v>0</v>
      </c>
      <c r="F3224">
        <v>0</v>
      </c>
      <c r="G3224">
        <v>0</v>
      </c>
      <c r="H3224">
        <v>555</v>
      </c>
      <c r="I3224" s="183" t="s">
        <v>5720</v>
      </c>
      <c r="J3224" s="183" t="s">
        <v>12095</v>
      </c>
      <c r="K3224">
        <v>0</v>
      </c>
      <c r="L3224">
        <v>555</v>
      </c>
    </row>
    <row r="3225" spans="1:12">
      <c r="A3225" s="183" t="s">
        <v>5719</v>
      </c>
      <c r="B3225" s="183" t="s">
        <v>8646</v>
      </c>
      <c r="C3225">
        <v>8800322943236</v>
      </c>
      <c r="D3225">
        <v>564</v>
      </c>
      <c r="E3225">
        <v>0</v>
      </c>
      <c r="F3225">
        <v>0</v>
      </c>
      <c r="G3225">
        <v>0</v>
      </c>
      <c r="H3225">
        <v>564</v>
      </c>
      <c r="I3225" s="183" t="s">
        <v>5720</v>
      </c>
      <c r="J3225" s="183" t="s">
        <v>12057</v>
      </c>
      <c r="K3225">
        <v>0</v>
      </c>
      <c r="L3225">
        <v>564</v>
      </c>
    </row>
    <row r="3226" spans="1:12">
      <c r="A3226" s="183" t="s">
        <v>5857</v>
      </c>
      <c r="B3226" s="183" t="s">
        <v>8646</v>
      </c>
      <c r="C3226">
        <v>8800322943335</v>
      </c>
      <c r="D3226">
        <v>627</v>
      </c>
      <c r="E3226">
        <v>0</v>
      </c>
      <c r="F3226">
        <v>0</v>
      </c>
      <c r="G3226">
        <v>0</v>
      </c>
      <c r="H3226">
        <v>627</v>
      </c>
      <c r="I3226" s="183" t="s">
        <v>5720</v>
      </c>
      <c r="J3226" s="183" t="s">
        <v>12066</v>
      </c>
      <c r="K3226">
        <v>0</v>
      </c>
      <c r="L3226">
        <v>627</v>
      </c>
    </row>
    <row r="3227" spans="1:12">
      <c r="A3227" s="183" t="s">
        <v>5721</v>
      </c>
      <c r="B3227" s="183" t="s">
        <v>8645</v>
      </c>
      <c r="C3227">
        <v>8800322943526</v>
      </c>
      <c r="D3227">
        <v>673</v>
      </c>
      <c r="E3227">
        <v>0</v>
      </c>
      <c r="F3227">
        <v>0</v>
      </c>
      <c r="G3227">
        <v>0</v>
      </c>
      <c r="H3227">
        <v>673</v>
      </c>
      <c r="I3227" s="183" t="s">
        <v>5712</v>
      </c>
      <c r="J3227" s="183" t="s">
        <v>12057</v>
      </c>
      <c r="K3227">
        <v>0</v>
      </c>
      <c r="L3227">
        <v>673</v>
      </c>
    </row>
    <row r="3228" spans="1:12">
      <c r="A3228" s="183" t="s">
        <v>5722</v>
      </c>
      <c r="B3228" s="183" t="s">
        <v>8645</v>
      </c>
      <c r="C3228">
        <v>8800322943533</v>
      </c>
      <c r="D3228">
        <v>613</v>
      </c>
      <c r="E3228">
        <v>0</v>
      </c>
      <c r="F3228">
        <v>0</v>
      </c>
      <c r="G3228">
        <v>0</v>
      </c>
      <c r="H3228">
        <v>613</v>
      </c>
      <c r="I3228" s="183" t="s">
        <v>5712</v>
      </c>
      <c r="J3228" s="183" t="s">
        <v>12055</v>
      </c>
      <c r="K3228">
        <v>0</v>
      </c>
      <c r="L3228">
        <v>613</v>
      </c>
    </row>
    <row r="3229" spans="1:12">
      <c r="A3229" s="183" t="s">
        <v>5858</v>
      </c>
      <c r="B3229" s="183" t="s">
        <v>8645</v>
      </c>
      <c r="C3229">
        <v>8800322943557</v>
      </c>
      <c r="D3229">
        <v>623</v>
      </c>
      <c r="E3229">
        <v>0</v>
      </c>
      <c r="F3229">
        <v>0</v>
      </c>
      <c r="G3229">
        <v>0</v>
      </c>
      <c r="H3229">
        <v>623</v>
      </c>
      <c r="I3229" s="183" t="s">
        <v>5712</v>
      </c>
      <c r="J3229" s="183" t="s">
        <v>12048</v>
      </c>
      <c r="K3229">
        <v>0</v>
      </c>
      <c r="L3229">
        <v>623</v>
      </c>
    </row>
    <row r="3230" spans="1:12">
      <c r="A3230" s="183" t="s">
        <v>387</v>
      </c>
      <c r="B3230" s="183" t="s">
        <v>1149</v>
      </c>
      <c r="C3230">
        <v>80172204</v>
      </c>
      <c r="D3230">
        <v>195</v>
      </c>
      <c r="E3230">
        <v>0</v>
      </c>
      <c r="F3230">
        <v>0</v>
      </c>
      <c r="G3230">
        <v>0</v>
      </c>
      <c r="H3230">
        <v>195</v>
      </c>
      <c r="I3230" s="183" t="s">
        <v>1058</v>
      </c>
      <c r="J3230" s="183" t="s">
        <v>12055</v>
      </c>
      <c r="K3230">
        <v>0</v>
      </c>
      <c r="L3230">
        <v>195</v>
      </c>
    </row>
    <row r="3231" spans="1:12">
      <c r="A3231" s="183" t="s">
        <v>390</v>
      </c>
      <c r="B3231" s="183" t="s">
        <v>391</v>
      </c>
      <c r="C3231">
        <v>80172207</v>
      </c>
      <c r="D3231">
        <v>289</v>
      </c>
      <c r="E3231">
        <v>0</v>
      </c>
      <c r="F3231">
        <v>0</v>
      </c>
      <c r="G3231">
        <v>0</v>
      </c>
      <c r="H3231">
        <v>289</v>
      </c>
      <c r="I3231" s="183" t="s">
        <v>1058</v>
      </c>
      <c r="J3231" s="183" t="s">
        <v>12050</v>
      </c>
      <c r="K3231">
        <v>0</v>
      </c>
      <c r="L3231">
        <v>289</v>
      </c>
    </row>
    <row r="3232" spans="1:12">
      <c r="A3232" s="183" t="s">
        <v>6357</v>
      </c>
      <c r="B3232" s="183" t="s">
        <v>6358</v>
      </c>
      <c r="C3232">
        <v>80172208</v>
      </c>
      <c r="D3232">
        <v>335</v>
      </c>
      <c r="E3232">
        <v>0</v>
      </c>
      <c r="F3232">
        <v>1</v>
      </c>
      <c r="G3232">
        <v>0</v>
      </c>
      <c r="H3232">
        <v>336</v>
      </c>
      <c r="I3232" s="183" t="s">
        <v>1058</v>
      </c>
      <c r="J3232" s="183" t="s">
        <v>12093</v>
      </c>
      <c r="K3232">
        <v>0</v>
      </c>
      <c r="L3232">
        <v>335</v>
      </c>
    </row>
    <row r="3233" spans="1:12">
      <c r="A3233" s="183" t="s">
        <v>6296</v>
      </c>
      <c r="B3233" s="183" t="s">
        <v>6297</v>
      </c>
      <c r="C3233">
        <v>80172234</v>
      </c>
      <c r="D3233">
        <v>33</v>
      </c>
      <c r="E3233">
        <v>0</v>
      </c>
      <c r="F3233">
        <v>0</v>
      </c>
      <c r="G3233">
        <v>0</v>
      </c>
      <c r="H3233">
        <v>33</v>
      </c>
      <c r="I3233" s="183" t="s">
        <v>1058</v>
      </c>
      <c r="J3233" s="183" t="s">
        <v>12093</v>
      </c>
      <c r="K3233">
        <v>0</v>
      </c>
      <c r="L3233">
        <v>33</v>
      </c>
    </row>
    <row r="3234" spans="1:12">
      <c r="A3234" s="183" t="s">
        <v>394</v>
      </c>
      <c r="B3234" s="183" t="s">
        <v>395</v>
      </c>
      <c r="C3234">
        <v>80172238</v>
      </c>
      <c r="D3234">
        <v>77</v>
      </c>
      <c r="E3234">
        <v>0</v>
      </c>
      <c r="F3234">
        <v>0</v>
      </c>
      <c r="G3234">
        <v>0</v>
      </c>
      <c r="H3234">
        <v>77</v>
      </c>
      <c r="I3234" s="183" t="s">
        <v>1058</v>
      </c>
      <c r="J3234" s="183" t="s">
        <v>12059</v>
      </c>
      <c r="K3234">
        <v>0</v>
      </c>
      <c r="L3234">
        <v>77</v>
      </c>
    </row>
    <row r="3235" spans="1:12">
      <c r="A3235" s="183" t="s">
        <v>6413</v>
      </c>
      <c r="B3235" s="183" t="s">
        <v>6338</v>
      </c>
      <c r="C3235">
        <v>8800358433688</v>
      </c>
      <c r="D3235">
        <v>971</v>
      </c>
      <c r="E3235">
        <v>0</v>
      </c>
      <c r="F3235">
        <v>0</v>
      </c>
      <c r="G3235">
        <v>0</v>
      </c>
      <c r="H3235">
        <v>971</v>
      </c>
      <c r="I3235" s="183" t="s">
        <v>6400</v>
      </c>
      <c r="J3235" s="183" t="s">
        <v>12055</v>
      </c>
      <c r="K3235">
        <v>0</v>
      </c>
      <c r="L3235">
        <v>971</v>
      </c>
    </row>
    <row r="3236" spans="1:12">
      <c r="A3236" s="183" t="s">
        <v>6428</v>
      </c>
      <c r="B3236" s="183" t="s">
        <v>6338</v>
      </c>
      <c r="C3236">
        <v>8800358433763</v>
      </c>
      <c r="D3236">
        <v>423</v>
      </c>
      <c r="E3236">
        <v>0</v>
      </c>
      <c r="F3236">
        <v>0</v>
      </c>
      <c r="G3236">
        <v>0</v>
      </c>
      <c r="H3236">
        <v>423</v>
      </c>
      <c r="I3236" s="183" t="s">
        <v>6400</v>
      </c>
      <c r="J3236" s="183" t="s">
        <v>12055</v>
      </c>
      <c r="K3236">
        <v>0</v>
      </c>
      <c r="L3236">
        <v>423</v>
      </c>
    </row>
    <row r="3237" spans="1:12">
      <c r="A3237" s="183" t="s">
        <v>6629</v>
      </c>
      <c r="B3237" s="183" t="s">
        <v>1029</v>
      </c>
      <c r="C3237">
        <v>8800358433916</v>
      </c>
      <c r="D3237">
        <v>148</v>
      </c>
      <c r="E3237">
        <v>0</v>
      </c>
      <c r="F3237">
        <v>0</v>
      </c>
      <c r="G3237">
        <v>0</v>
      </c>
      <c r="H3237">
        <v>148</v>
      </c>
      <c r="I3237" s="183" t="s">
        <v>6453</v>
      </c>
      <c r="J3237" s="183" t="s">
        <v>12050</v>
      </c>
      <c r="K3237">
        <v>0</v>
      </c>
      <c r="L3237">
        <v>148</v>
      </c>
    </row>
    <row r="3238" spans="1:12">
      <c r="A3238" s="183" t="s">
        <v>6474</v>
      </c>
      <c r="B3238" s="183" t="s">
        <v>1029</v>
      </c>
      <c r="C3238">
        <v>8800358434081</v>
      </c>
      <c r="D3238">
        <v>86</v>
      </c>
      <c r="E3238">
        <v>0</v>
      </c>
      <c r="F3238">
        <v>0</v>
      </c>
      <c r="G3238">
        <v>0</v>
      </c>
      <c r="H3238">
        <v>86</v>
      </c>
      <c r="I3238" s="183" t="s">
        <v>6453</v>
      </c>
      <c r="J3238" s="183" t="s">
        <v>12057</v>
      </c>
      <c r="K3238">
        <v>0</v>
      </c>
      <c r="L3238">
        <v>86</v>
      </c>
    </row>
    <row r="3239" spans="1:12">
      <c r="A3239" s="183" t="s">
        <v>6452</v>
      </c>
      <c r="B3239" s="183" t="s">
        <v>1029</v>
      </c>
      <c r="C3239">
        <v>8800358434098</v>
      </c>
      <c r="D3239">
        <v>257</v>
      </c>
      <c r="E3239">
        <v>0</v>
      </c>
      <c r="F3239">
        <v>0</v>
      </c>
      <c r="G3239">
        <v>0</v>
      </c>
      <c r="H3239">
        <v>257</v>
      </c>
      <c r="I3239" s="183" t="s">
        <v>6453</v>
      </c>
      <c r="J3239" s="183" t="s">
        <v>12055</v>
      </c>
      <c r="K3239">
        <v>0</v>
      </c>
      <c r="L3239">
        <v>257</v>
      </c>
    </row>
    <row r="3240" spans="1:12">
      <c r="A3240" s="183" t="s">
        <v>6464</v>
      </c>
      <c r="B3240" s="183" t="s">
        <v>1026</v>
      </c>
      <c r="C3240">
        <v>8800358434111</v>
      </c>
      <c r="D3240">
        <v>172</v>
      </c>
      <c r="E3240">
        <v>0</v>
      </c>
      <c r="F3240">
        <v>0</v>
      </c>
      <c r="G3240">
        <v>0</v>
      </c>
      <c r="H3240">
        <v>172</v>
      </c>
      <c r="I3240" s="183" t="s">
        <v>6450</v>
      </c>
      <c r="J3240" s="183" t="s">
        <v>12095</v>
      </c>
      <c r="K3240">
        <v>0</v>
      </c>
      <c r="L3240">
        <v>172</v>
      </c>
    </row>
    <row r="3241" spans="1:12">
      <c r="A3241" s="183" t="s">
        <v>6612</v>
      </c>
      <c r="B3241" s="183" t="s">
        <v>1026</v>
      </c>
      <c r="C3241">
        <v>8800358434258</v>
      </c>
      <c r="D3241">
        <v>178</v>
      </c>
      <c r="E3241">
        <v>0</v>
      </c>
      <c r="F3241">
        <v>0</v>
      </c>
      <c r="G3241">
        <v>0</v>
      </c>
      <c r="H3241">
        <v>178</v>
      </c>
      <c r="I3241" s="183" t="s">
        <v>6450</v>
      </c>
      <c r="J3241" s="183" t="s">
        <v>12050</v>
      </c>
      <c r="K3241">
        <v>0</v>
      </c>
      <c r="L3241">
        <v>178</v>
      </c>
    </row>
    <row r="3242" spans="1:12">
      <c r="A3242" s="183" t="s">
        <v>7487</v>
      </c>
      <c r="B3242" s="183" t="s">
        <v>1026</v>
      </c>
      <c r="C3242">
        <v>8800358434265</v>
      </c>
      <c r="D3242">
        <v>222</v>
      </c>
      <c r="E3242">
        <v>0</v>
      </c>
      <c r="F3242">
        <v>0</v>
      </c>
      <c r="G3242">
        <v>0</v>
      </c>
      <c r="H3242">
        <v>222</v>
      </c>
      <c r="I3242" s="183" t="s">
        <v>6450</v>
      </c>
      <c r="J3242" s="183" t="s">
        <v>12048</v>
      </c>
      <c r="K3242">
        <v>0</v>
      </c>
      <c r="L3242">
        <v>222</v>
      </c>
    </row>
    <row r="3243" spans="1:12">
      <c r="A3243" s="183" t="s">
        <v>400</v>
      </c>
      <c r="B3243" s="183" t="s">
        <v>1182</v>
      </c>
      <c r="C3243">
        <v>15860200</v>
      </c>
      <c r="D3243">
        <v>18</v>
      </c>
      <c r="E3243">
        <v>0</v>
      </c>
      <c r="F3243">
        <v>262</v>
      </c>
      <c r="G3243">
        <v>0</v>
      </c>
      <c r="H3243">
        <v>280</v>
      </c>
      <c r="I3243" s="183" t="s">
        <v>1183</v>
      </c>
      <c r="J3243" s="183" t="s">
        <v>12093</v>
      </c>
      <c r="K3243">
        <v>0</v>
      </c>
      <c r="L3243">
        <v>18</v>
      </c>
    </row>
    <row r="3244" spans="1:12">
      <c r="A3244" s="183" t="s">
        <v>406</v>
      </c>
      <c r="B3244" s="183" t="s">
        <v>1182</v>
      </c>
      <c r="C3244">
        <v>15860207</v>
      </c>
      <c r="D3244">
        <v>15</v>
      </c>
      <c r="E3244">
        <v>0</v>
      </c>
      <c r="F3244" s="501">
        <v>2580</v>
      </c>
      <c r="G3244">
        <v>0</v>
      </c>
      <c r="H3244" s="501">
        <v>2595</v>
      </c>
      <c r="I3244" s="183" t="s">
        <v>1183</v>
      </c>
      <c r="J3244" s="183" t="s">
        <v>12059</v>
      </c>
      <c r="K3244">
        <v>0</v>
      </c>
      <c r="L3244">
        <v>15</v>
      </c>
    </row>
    <row r="3245" spans="1:12">
      <c r="A3245" s="183" t="s">
        <v>407</v>
      </c>
      <c r="B3245" s="183" t="s">
        <v>1182</v>
      </c>
      <c r="C3245">
        <v>15860208</v>
      </c>
      <c r="D3245">
        <v>0</v>
      </c>
      <c r="E3245">
        <v>0</v>
      </c>
      <c r="F3245" s="501">
        <v>2315</v>
      </c>
      <c r="G3245">
        <v>0</v>
      </c>
      <c r="H3245" s="501">
        <v>2315</v>
      </c>
      <c r="I3245" s="183" t="s">
        <v>1183</v>
      </c>
      <c r="J3245" s="183" t="s">
        <v>12053</v>
      </c>
      <c r="K3245">
        <v>0</v>
      </c>
      <c r="L3245">
        <v>0</v>
      </c>
    </row>
    <row r="3246" spans="1:12">
      <c r="A3246" s="183" t="s">
        <v>415</v>
      </c>
      <c r="B3246" s="183" t="s">
        <v>1182</v>
      </c>
      <c r="C3246">
        <v>15860216</v>
      </c>
      <c r="D3246">
        <v>0</v>
      </c>
      <c r="E3246">
        <v>0</v>
      </c>
      <c r="F3246" s="501">
        <v>2560</v>
      </c>
      <c r="G3246">
        <v>0</v>
      </c>
      <c r="H3246" s="501">
        <v>2560</v>
      </c>
      <c r="I3246" s="183" t="s">
        <v>1183</v>
      </c>
      <c r="J3246" s="183" t="s">
        <v>12091</v>
      </c>
      <c r="K3246">
        <v>0</v>
      </c>
      <c r="L3246">
        <v>0</v>
      </c>
    </row>
    <row r="3247" spans="1:12">
      <c r="A3247" s="183" t="s">
        <v>418</v>
      </c>
      <c r="B3247" s="183" t="s">
        <v>1182</v>
      </c>
      <c r="C3247">
        <v>15860219</v>
      </c>
      <c r="D3247">
        <v>12</v>
      </c>
      <c r="E3247">
        <v>0</v>
      </c>
      <c r="F3247" s="501">
        <v>1754</v>
      </c>
      <c r="G3247">
        <v>0</v>
      </c>
      <c r="H3247" s="501">
        <v>1766</v>
      </c>
      <c r="I3247" s="183" t="s">
        <v>1183</v>
      </c>
      <c r="J3247" s="183" t="s">
        <v>12091</v>
      </c>
      <c r="K3247">
        <v>0</v>
      </c>
      <c r="L3247">
        <v>12</v>
      </c>
    </row>
    <row r="3248" spans="1:12">
      <c r="A3248" s="183" t="s">
        <v>419</v>
      </c>
      <c r="B3248" s="183" t="s">
        <v>1182</v>
      </c>
      <c r="C3248">
        <v>15860220</v>
      </c>
      <c r="D3248">
        <v>0</v>
      </c>
      <c r="E3248">
        <v>0</v>
      </c>
      <c r="F3248" s="501">
        <v>1838</v>
      </c>
      <c r="G3248">
        <v>0</v>
      </c>
      <c r="H3248" s="501">
        <v>1838</v>
      </c>
      <c r="I3248" s="183" t="s">
        <v>1183</v>
      </c>
      <c r="J3248" s="183" t="s">
        <v>12091</v>
      </c>
      <c r="K3248">
        <v>0</v>
      </c>
      <c r="L3248">
        <v>0</v>
      </c>
    </row>
    <row r="3249" spans="1:12">
      <c r="A3249" s="183" t="s">
        <v>422</v>
      </c>
      <c r="B3249" s="183" t="s">
        <v>1182</v>
      </c>
      <c r="C3249">
        <v>15860223</v>
      </c>
      <c r="D3249">
        <v>158</v>
      </c>
      <c r="E3249">
        <v>0</v>
      </c>
      <c r="F3249" s="501">
        <v>1789</v>
      </c>
      <c r="G3249">
        <v>0</v>
      </c>
      <c r="H3249" s="501">
        <v>1947</v>
      </c>
      <c r="I3249" s="183" t="s">
        <v>1183</v>
      </c>
      <c r="J3249" s="183" t="s">
        <v>12060</v>
      </c>
      <c r="K3249">
        <v>0</v>
      </c>
      <c r="L3249">
        <v>158</v>
      </c>
    </row>
    <row r="3250" spans="1:12">
      <c r="A3250" s="183" t="s">
        <v>428</v>
      </c>
      <c r="B3250" s="183" t="s">
        <v>1182</v>
      </c>
      <c r="C3250">
        <v>15860234</v>
      </c>
      <c r="D3250">
        <v>265</v>
      </c>
      <c r="E3250">
        <v>0</v>
      </c>
      <c r="F3250">
        <v>285</v>
      </c>
      <c r="G3250">
        <v>0</v>
      </c>
      <c r="H3250">
        <v>550</v>
      </c>
      <c r="I3250" s="183" t="s">
        <v>1183</v>
      </c>
      <c r="J3250" s="183" t="s">
        <v>12081</v>
      </c>
      <c r="K3250">
        <v>0</v>
      </c>
      <c r="L3250">
        <v>265</v>
      </c>
    </row>
    <row r="3251" spans="1:12">
      <c r="A3251" s="183" t="s">
        <v>3927</v>
      </c>
      <c r="B3251" s="183" t="s">
        <v>1010</v>
      </c>
      <c r="C3251">
        <v>15870200</v>
      </c>
      <c r="D3251">
        <v>0</v>
      </c>
      <c r="E3251">
        <v>0</v>
      </c>
      <c r="F3251">
        <v>42</v>
      </c>
      <c r="G3251">
        <v>0</v>
      </c>
      <c r="H3251">
        <v>42</v>
      </c>
      <c r="I3251" s="183" t="s">
        <v>1011</v>
      </c>
      <c r="J3251" s="183" t="s">
        <v>12059</v>
      </c>
      <c r="K3251">
        <v>0</v>
      </c>
      <c r="L3251">
        <v>0</v>
      </c>
    </row>
    <row r="3252" spans="1:12">
      <c r="A3252" s="183" t="s">
        <v>3935</v>
      </c>
      <c r="B3252" s="183" t="s">
        <v>1010</v>
      </c>
      <c r="C3252">
        <v>15870204</v>
      </c>
      <c r="D3252">
        <v>0</v>
      </c>
      <c r="E3252">
        <v>0</v>
      </c>
      <c r="F3252">
        <v>116</v>
      </c>
      <c r="G3252">
        <v>0</v>
      </c>
      <c r="H3252">
        <v>116</v>
      </c>
      <c r="I3252" s="183" t="s">
        <v>1011</v>
      </c>
      <c r="J3252" s="183" t="s">
        <v>12093</v>
      </c>
      <c r="K3252">
        <v>0</v>
      </c>
      <c r="L3252">
        <v>0</v>
      </c>
    </row>
    <row r="3253" spans="1:12">
      <c r="A3253" s="183" t="s">
        <v>3932</v>
      </c>
      <c r="B3253" s="183" t="s">
        <v>1010</v>
      </c>
      <c r="C3253">
        <v>15870216</v>
      </c>
      <c r="D3253">
        <v>0</v>
      </c>
      <c r="E3253">
        <v>0</v>
      </c>
      <c r="F3253">
        <v>152</v>
      </c>
      <c r="G3253">
        <v>0</v>
      </c>
      <c r="H3253">
        <v>152</v>
      </c>
      <c r="I3253" s="183" t="s">
        <v>1011</v>
      </c>
      <c r="J3253" s="183" t="s">
        <v>12053</v>
      </c>
      <c r="K3253">
        <v>0</v>
      </c>
      <c r="L3253">
        <v>0</v>
      </c>
    </row>
    <row r="3254" spans="1:12">
      <c r="A3254" s="183" t="s">
        <v>437</v>
      </c>
      <c r="B3254" s="183" t="s">
        <v>1010</v>
      </c>
      <c r="C3254">
        <v>15870221</v>
      </c>
      <c r="D3254">
        <v>61</v>
      </c>
      <c r="E3254">
        <v>0</v>
      </c>
      <c r="F3254">
        <v>274</v>
      </c>
      <c r="G3254">
        <v>0</v>
      </c>
      <c r="H3254">
        <v>335</v>
      </c>
      <c r="I3254" s="183" t="s">
        <v>1011</v>
      </c>
      <c r="J3254" s="183" t="s">
        <v>12054</v>
      </c>
      <c r="K3254">
        <v>0</v>
      </c>
      <c r="L3254">
        <v>61</v>
      </c>
    </row>
    <row r="3255" spans="1:12">
      <c r="A3255" s="183" t="s">
        <v>438</v>
      </c>
      <c r="B3255" s="183" t="s">
        <v>1010</v>
      </c>
      <c r="C3255">
        <v>15870223</v>
      </c>
      <c r="D3255">
        <v>243</v>
      </c>
      <c r="E3255">
        <v>0</v>
      </c>
      <c r="F3255">
        <v>508</v>
      </c>
      <c r="G3255">
        <v>0</v>
      </c>
      <c r="H3255">
        <v>751</v>
      </c>
      <c r="I3255" s="183" t="s">
        <v>1011</v>
      </c>
      <c r="J3255" s="183" t="s">
        <v>12053</v>
      </c>
      <c r="K3255">
        <v>0</v>
      </c>
      <c r="L3255">
        <v>243</v>
      </c>
    </row>
    <row r="3256" spans="1:12">
      <c r="A3256" s="183" t="s">
        <v>3933</v>
      </c>
      <c r="B3256" s="183" t="s">
        <v>1010</v>
      </c>
      <c r="C3256">
        <v>15870226</v>
      </c>
      <c r="D3256">
        <v>19</v>
      </c>
      <c r="E3256">
        <v>0</v>
      </c>
      <c r="F3256">
        <v>103</v>
      </c>
      <c r="G3256">
        <v>0</v>
      </c>
      <c r="H3256">
        <v>122</v>
      </c>
      <c r="I3256" s="183" t="s">
        <v>1011</v>
      </c>
      <c r="J3256" s="183" t="s">
        <v>12059</v>
      </c>
      <c r="K3256">
        <v>0</v>
      </c>
      <c r="L3256">
        <v>19</v>
      </c>
    </row>
    <row r="3257" spans="1:12">
      <c r="A3257" s="183" t="s">
        <v>439</v>
      </c>
      <c r="B3257" s="183" t="s">
        <v>1010</v>
      </c>
      <c r="C3257">
        <v>15870228</v>
      </c>
      <c r="D3257">
        <v>118</v>
      </c>
      <c r="E3257">
        <v>0</v>
      </c>
      <c r="F3257">
        <v>224</v>
      </c>
      <c r="G3257">
        <v>0</v>
      </c>
      <c r="H3257">
        <v>342</v>
      </c>
      <c r="I3257" s="183" t="s">
        <v>1011</v>
      </c>
      <c r="J3257" s="183" t="s">
        <v>12060</v>
      </c>
      <c r="K3257">
        <v>0</v>
      </c>
      <c r="L3257">
        <v>118</v>
      </c>
    </row>
    <row r="3258" spans="1:12">
      <c r="A3258" s="183" t="s">
        <v>3947</v>
      </c>
      <c r="B3258" s="183" t="s">
        <v>1010</v>
      </c>
      <c r="C3258">
        <v>15870232</v>
      </c>
      <c r="D3258">
        <v>31</v>
      </c>
      <c r="E3258">
        <v>0</v>
      </c>
      <c r="F3258">
        <v>85</v>
      </c>
      <c r="G3258">
        <v>0</v>
      </c>
      <c r="H3258">
        <v>116</v>
      </c>
      <c r="I3258" s="183" t="s">
        <v>1011</v>
      </c>
      <c r="J3258" s="183" t="s">
        <v>12053</v>
      </c>
      <c r="K3258">
        <v>0</v>
      </c>
      <c r="L3258">
        <v>31</v>
      </c>
    </row>
    <row r="3259" spans="1:12">
      <c r="A3259" s="183" t="s">
        <v>456</v>
      </c>
      <c r="B3259" s="183" t="s">
        <v>1165</v>
      </c>
      <c r="C3259">
        <v>15880216</v>
      </c>
      <c r="D3259">
        <v>3</v>
      </c>
      <c r="E3259">
        <v>0</v>
      </c>
      <c r="F3259">
        <v>748</v>
      </c>
      <c r="G3259">
        <v>0</v>
      </c>
      <c r="H3259">
        <v>751</v>
      </c>
      <c r="I3259" s="183" t="s">
        <v>1166</v>
      </c>
      <c r="J3259" s="183" t="s">
        <v>12066</v>
      </c>
      <c r="K3259">
        <v>0</v>
      </c>
      <c r="L3259">
        <v>3</v>
      </c>
    </row>
    <row r="3260" spans="1:12">
      <c r="A3260" s="183" t="s">
        <v>461</v>
      </c>
      <c r="B3260" s="183" t="s">
        <v>1165</v>
      </c>
      <c r="C3260">
        <v>15880221</v>
      </c>
      <c r="D3260">
        <v>101</v>
      </c>
      <c r="E3260">
        <v>0</v>
      </c>
      <c r="F3260">
        <v>602</v>
      </c>
      <c r="G3260">
        <v>0</v>
      </c>
      <c r="H3260">
        <v>703</v>
      </c>
      <c r="I3260" s="183" t="s">
        <v>1166</v>
      </c>
      <c r="J3260" s="183" t="s">
        <v>12095</v>
      </c>
      <c r="K3260">
        <v>0</v>
      </c>
      <c r="L3260">
        <v>101</v>
      </c>
    </row>
    <row r="3261" spans="1:12">
      <c r="A3261" s="183" t="s">
        <v>464</v>
      </c>
      <c r="B3261" s="183" t="s">
        <v>1165</v>
      </c>
      <c r="C3261">
        <v>15880224</v>
      </c>
      <c r="D3261">
        <v>139</v>
      </c>
      <c r="E3261">
        <v>0</v>
      </c>
      <c r="F3261" s="501">
        <v>1091</v>
      </c>
      <c r="G3261">
        <v>0</v>
      </c>
      <c r="H3261" s="501">
        <v>1230</v>
      </c>
      <c r="I3261" s="183" t="s">
        <v>1166</v>
      </c>
      <c r="J3261" s="183" t="s">
        <v>12050</v>
      </c>
      <c r="K3261">
        <v>0</v>
      </c>
      <c r="L3261">
        <v>139</v>
      </c>
    </row>
    <row r="3262" spans="1:12">
      <c r="A3262" s="183" t="s">
        <v>473</v>
      </c>
      <c r="B3262" s="183" t="s">
        <v>2060</v>
      </c>
      <c r="C3262">
        <v>16920200</v>
      </c>
      <c r="D3262">
        <v>212</v>
      </c>
      <c r="E3262">
        <v>0</v>
      </c>
      <c r="F3262">
        <v>0</v>
      </c>
      <c r="G3262">
        <v>0</v>
      </c>
      <c r="H3262">
        <v>212</v>
      </c>
      <c r="I3262" s="183" t="s">
        <v>996</v>
      </c>
      <c r="J3262" s="183" t="s">
        <v>12093</v>
      </c>
      <c r="K3262">
        <v>0</v>
      </c>
      <c r="L3262">
        <v>212</v>
      </c>
    </row>
    <row r="3263" spans="1:12">
      <c r="A3263" s="183" t="s">
        <v>527</v>
      </c>
      <c r="B3263" s="183" t="s">
        <v>991</v>
      </c>
      <c r="C3263">
        <v>30020213</v>
      </c>
      <c r="D3263">
        <v>84</v>
      </c>
      <c r="E3263">
        <v>0</v>
      </c>
      <c r="F3263">
        <v>73</v>
      </c>
      <c r="G3263">
        <v>0</v>
      </c>
      <c r="H3263">
        <v>157</v>
      </c>
      <c r="I3263" s="183" t="s">
        <v>992</v>
      </c>
      <c r="J3263" s="183" t="s">
        <v>12048</v>
      </c>
      <c r="K3263">
        <v>0</v>
      </c>
      <c r="L3263">
        <v>84</v>
      </c>
    </row>
    <row r="3264" spans="1:12">
      <c r="A3264" s="183" t="s">
        <v>529</v>
      </c>
      <c r="B3264" s="183" t="s">
        <v>991</v>
      </c>
      <c r="C3264">
        <v>30020215</v>
      </c>
      <c r="D3264">
        <v>128</v>
      </c>
      <c r="E3264">
        <v>0</v>
      </c>
      <c r="F3264">
        <v>0</v>
      </c>
      <c r="G3264">
        <v>0</v>
      </c>
      <c r="H3264">
        <v>128</v>
      </c>
      <c r="I3264" s="183" t="s">
        <v>992</v>
      </c>
      <c r="J3264" s="183" t="s">
        <v>12056</v>
      </c>
      <c r="K3264">
        <v>0</v>
      </c>
      <c r="L3264">
        <v>128</v>
      </c>
    </row>
    <row r="3265" spans="1:12">
      <c r="A3265" s="183" t="s">
        <v>531</v>
      </c>
      <c r="B3265" s="183" t="s">
        <v>991</v>
      </c>
      <c r="C3265">
        <v>30020217</v>
      </c>
      <c r="D3265">
        <v>62</v>
      </c>
      <c r="E3265">
        <v>0</v>
      </c>
      <c r="F3265">
        <v>0</v>
      </c>
      <c r="G3265">
        <v>0</v>
      </c>
      <c r="H3265">
        <v>62</v>
      </c>
      <c r="I3265" s="183" t="s">
        <v>992</v>
      </c>
      <c r="J3265" s="183" t="s">
        <v>12060</v>
      </c>
      <c r="K3265">
        <v>0</v>
      </c>
      <c r="L3265">
        <v>62</v>
      </c>
    </row>
    <row r="3266" spans="1:12">
      <c r="A3266" s="183" t="s">
        <v>532</v>
      </c>
      <c r="B3266" s="183" t="s">
        <v>991</v>
      </c>
      <c r="C3266">
        <v>30020218</v>
      </c>
      <c r="D3266">
        <v>40</v>
      </c>
      <c r="E3266">
        <v>0</v>
      </c>
      <c r="F3266">
        <v>60</v>
      </c>
      <c r="G3266">
        <v>0</v>
      </c>
      <c r="H3266">
        <v>100</v>
      </c>
      <c r="I3266" s="183" t="s">
        <v>992</v>
      </c>
      <c r="J3266" s="183" t="s">
        <v>12056</v>
      </c>
      <c r="K3266">
        <v>0</v>
      </c>
      <c r="L3266">
        <v>40</v>
      </c>
    </row>
    <row r="3267" spans="1:12">
      <c r="A3267" s="183" t="s">
        <v>537</v>
      </c>
      <c r="B3267" s="183" t="s">
        <v>991</v>
      </c>
      <c r="C3267">
        <v>30020230</v>
      </c>
      <c r="D3267">
        <v>0</v>
      </c>
      <c r="E3267">
        <v>0</v>
      </c>
      <c r="F3267">
        <v>76</v>
      </c>
      <c r="G3267">
        <v>0</v>
      </c>
      <c r="H3267">
        <v>76</v>
      </c>
      <c r="I3267" s="183" t="s">
        <v>992</v>
      </c>
      <c r="J3267" s="183" t="s">
        <v>12067</v>
      </c>
      <c r="K3267">
        <v>0</v>
      </c>
      <c r="L3267">
        <v>0</v>
      </c>
    </row>
    <row r="3268" spans="1:12">
      <c r="A3268" s="183" t="s">
        <v>4496</v>
      </c>
      <c r="B3268" s="183" t="s">
        <v>1048</v>
      </c>
      <c r="C3268">
        <v>33010200</v>
      </c>
      <c r="D3268">
        <v>70</v>
      </c>
      <c r="E3268">
        <v>0</v>
      </c>
      <c r="F3268">
        <v>0</v>
      </c>
      <c r="G3268">
        <v>0</v>
      </c>
      <c r="H3268">
        <v>70</v>
      </c>
      <c r="I3268" s="183" t="s">
        <v>1049</v>
      </c>
      <c r="J3268" s="183" t="s">
        <v>12066</v>
      </c>
      <c r="K3268">
        <v>0</v>
      </c>
      <c r="L3268">
        <v>70</v>
      </c>
    </row>
    <row r="3269" spans="1:12">
      <c r="A3269" s="183" t="s">
        <v>546</v>
      </c>
      <c r="B3269" s="183" t="s">
        <v>1048</v>
      </c>
      <c r="C3269">
        <v>33010230</v>
      </c>
      <c r="D3269">
        <v>79</v>
      </c>
      <c r="E3269">
        <v>0</v>
      </c>
      <c r="F3269">
        <v>0</v>
      </c>
      <c r="G3269">
        <v>0</v>
      </c>
      <c r="H3269">
        <v>79</v>
      </c>
      <c r="I3269" s="183" t="s">
        <v>1049</v>
      </c>
      <c r="J3269" s="183" t="s">
        <v>12057</v>
      </c>
      <c r="K3269">
        <v>0</v>
      </c>
      <c r="L3269">
        <v>79</v>
      </c>
    </row>
    <row r="3270" spans="1:12">
      <c r="A3270" s="183" t="s">
        <v>548</v>
      </c>
      <c r="B3270" s="183" t="s">
        <v>1048</v>
      </c>
      <c r="C3270">
        <v>33010234</v>
      </c>
      <c r="D3270">
        <v>58</v>
      </c>
      <c r="E3270">
        <v>0</v>
      </c>
      <c r="F3270">
        <v>0</v>
      </c>
      <c r="G3270">
        <v>0</v>
      </c>
      <c r="H3270">
        <v>58</v>
      </c>
      <c r="I3270" s="183" t="s">
        <v>1049</v>
      </c>
      <c r="J3270" s="183" t="s">
        <v>12060</v>
      </c>
      <c r="K3270">
        <v>0</v>
      </c>
      <c r="L3270">
        <v>58</v>
      </c>
    </row>
    <row r="3271" spans="1:12">
      <c r="A3271" s="183" t="s">
        <v>550</v>
      </c>
      <c r="B3271" s="183" t="s">
        <v>1056</v>
      </c>
      <c r="C3271">
        <v>33020202</v>
      </c>
      <c r="D3271">
        <v>29</v>
      </c>
      <c r="E3271">
        <v>0</v>
      </c>
      <c r="F3271">
        <v>0</v>
      </c>
      <c r="G3271">
        <v>0</v>
      </c>
      <c r="H3271">
        <v>29</v>
      </c>
      <c r="I3271" s="183" t="s">
        <v>1057</v>
      </c>
      <c r="J3271" s="183" t="s">
        <v>12053</v>
      </c>
      <c r="K3271">
        <v>0</v>
      </c>
      <c r="L3271">
        <v>29</v>
      </c>
    </row>
    <row r="3272" spans="1:12">
      <c r="A3272" s="183" t="s">
        <v>552</v>
      </c>
      <c r="B3272" s="183" t="s">
        <v>1056</v>
      </c>
      <c r="C3272">
        <v>33020205</v>
      </c>
      <c r="D3272">
        <v>86</v>
      </c>
      <c r="E3272">
        <v>0</v>
      </c>
      <c r="F3272">
        <v>41</v>
      </c>
      <c r="G3272">
        <v>0</v>
      </c>
      <c r="H3272">
        <v>127</v>
      </c>
      <c r="I3272" s="183" t="s">
        <v>1057</v>
      </c>
      <c r="J3272" s="183" t="s">
        <v>12067</v>
      </c>
      <c r="K3272">
        <v>0</v>
      </c>
      <c r="L3272">
        <v>86</v>
      </c>
    </row>
    <row r="3273" spans="1:12">
      <c r="A3273" s="183" t="s">
        <v>558</v>
      </c>
      <c r="B3273" s="183" t="s">
        <v>1003</v>
      </c>
      <c r="C3273">
        <v>33040202</v>
      </c>
      <c r="D3273">
        <v>108</v>
      </c>
      <c r="E3273">
        <v>0</v>
      </c>
      <c r="F3273">
        <v>1</v>
      </c>
      <c r="G3273">
        <v>0</v>
      </c>
      <c r="H3273">
        <v>109</v>
      </c>
      <c r="I3273" s="183" t="s">
        <v>1004</v>
      </c>
      <c r="J3273" s="183" t="s">
        <v>12094</v>
      </c>
      <c r="K3273">
        <v>0</v>
      </c>
      <c r="L3273">
        <v>108</v>
      </c>
    </row>
    <row r="3274" spans="1:12">
      <c r="A3274" s="183" t="s">
        <v>561</v>
      </c>
      <c r="B3274" s="183" t="s">
        <v>1003</v>
      </c>
      <c r="C3274">
        <v>33040207</v>
      </c>
      <c r="D3274">
        <v>13</v>
      </c>
      <c r="E3274">
        <v>0</v>
      </c>
      <c r="F3274">
        <v>7</v>
      </c>
      <c r="G3274">
        <v>0</v>
      </c>
      <c r="H3274">
        <v>20</v>
      </c>
      <c r="I3274" s="183" t="s">
        <v>1004</v>
      </c>
      <c r="J3274" s="183" t="s">
        <v>12053</v>
      </c>
      <c r="K3274">
        <v>0</v>
      </c>
      <c r="L3274">
        <v>13</v>
      </c>
    </row>
    <row r="3275" spans="1:12">
      <c r="A3275" s="183" t="s">
        <v>4419</v>
      </c>
      <c r="B3275" s="183" t="s">
        <v>4420</v>
      </c>
      <c r="C3275">
        <v>8800269006223</v>
      </c>
      <c r="D3275">
        <v>214</v>
      </c>
      <c r="E3275">
        <v>0</v>
      </c>
      <c r="F3275">
        <v>0</v>
      </c>
      <c r="G3275">
        <v>0</v>
      </c>
      <c r="H3275">
        <v>214</v>
      </c>
      <c r="I3275" s="183" t="s">
        <v>4355</v>
      </c>
      <c r="J3275" s="183" t="s">
        <v>12066</v>
      </c>
      <c r="K3275">
        <v>0</v>
      </c>
      <c r="L3275">
        <v>214</v>
      </c>
    </row>
    <row r="3276" spans="1:12">
      <c r="A3276" s="183" t="s">
        <v>4421</v>
      </c>
      <c r="B3276" s="183" t="s">
        <v>4422</v>
      </c>
      <c r="C3276">
        <v>8800269006254</v>
      </c>
      <c r="D3276">
        <v>216</v>
      </c>
      <c r="E3276">
        <v>0</v>
      </c>
      <c r="F3276">
        <v>0</v>
      </c>
      <c r="G3276">
        <v>0</v>
      </c>
      <c r="H3276">
        <v>216</v>
      </c>
      <c r="I3276" s="183" t="s">
        <v>4355</v>
      </c>
      <c r="J3276" s="183" t="s">
        <v>12095</v>
      </c>
      <c r="K3276">
        <v>0</v>
      </c>
      <c r="L3276">
        <v>216</v>
      </c>
    </row>
    <row r="3277" spans="1:12">
      <c r="A3277" s="183" t="s">
        <v>4423</v>
      </c>
      <c r="B3277" s="183" t="s">
        <v>4424</v>
      </c>
      <c r="C3277">
        <v>8800269006360</v>
      </c>
      <c r="D3277">
        <v>198</v>
      </c>
      <c r="E3277">
        <v>0</v>
      </c>
      <c r="F3277">
        <v>0</v>
      </c>
      <c r="G3277">
        <v>0</v>
      </c>
      <c r="H3277">
        <v>198</v>
      </c>
      <c r="I3277" s="183" t="s">
        <v>4355</v>
      </c>
      <c r="J3277" s="183" t="s">
        <v>12063</v>
      </c>
      <c r="K3277">
        <v>0</v>
      </c>
      <c r="L3277">
        <v>198</v>
      </c>
    </row>
    <row r="3278" spans="1:12">
      <c r="A3278" s="183" t="s">
        <v>4425</v>
      </c>
      <c r="B3278" s="183" t="s">
        <v>4426</v>
      </c>
      <c r="C3278">
        <v>8800269006445</v>
      </c>
      <c r="D3278">
        <v>197</v>
      </c>
      <c r="E3278">
        <v>0</v>
      </c>
      <c r="F3278">
        <v>0</v>
      </c>
      <c r="G3278">
        <v>0</v>
      </c>
      <c r="H3278">
        <v>197</v>
      </c>
      <c r="I3278" s="183" t="s">
        <v>4355</v>
      </c>
      <c r="J3278" s="183" t="s">
        <v>12087</v>
      </c>
      <c r="K3278">
        <v>0</v>
      </c>
      <c r="L3278">
        <v>197</v>
      </c>
    </row>
    <row r="3279" spans="1:12">
      <c r="A3279" s="183" t="s">
        <v>4427</v>
      </c>
      <c r="B3279" s="183" t="s">
        <v>4372</v>
      </c>
      <c r="C3279">
        <v>8800269006544</v>
      </c>
      <c r="D3279">
        <v>180</v>
      </c>
      <c r="E3279">
        <v>0</v>
      </c>
      <c r="F3279">
        <v>0</v>
      </c>
      <c r="G3279">
        <v>0</v>
      </c>
      <c r="H3279">
        <v>180</v>
      </c>
      <c r="I3279" s="183" t="s">
        <v>4360</v>
      </c>
      <c r="J3279" s="183" t="s">
        <v>12085</v>
      </c>
      <c r="K3279">
        <v>0</v>
      </c>
      <c r="L3279">
        <v>180</v>
      </c>
    </row>
    <row r="3280" spans="1:12">
      <c r="A3280" s="183" t="s">
        <v>4428</v>
      </c>
      <c r="B3280" s="183" t="s">
        <v>4396</v>
      </c>
      <c r="C3280">
        <v>8800269006582</v>
      </c>
      <c r="D3280">
        <v>208</v>
      </c>
      <c r="E3280">
        <v>0</v>
      </c>
      <c r="F3280">
        <v>0</v>
      </c>
      <c r="G3280">
        <v>0</v>
      </c>
      <c r="H3280">
        <v>208</v>
      </c>
      <c r="I3280" s="183" t="s">
        <v>4360</v>
      </c>
      <c r="J3280" s="183" t="s">
        <v>12085</v>
      </c>
      <c r="K3280">
        <v>0</v>
      </c>
      <c r="L3280">
        <v>208</v>
      </c>
    </row>
    <row r="3281" spans="1:12">
      <c r="A3281" s="183" t="s">
        <v>4444</v>
      </c>
      <c r="B3281" s="183" t="s">
        <v>4445</v>
      </c>
      <c r="C3281">
        <v>8800269006711</v>
      </c>
      <c r="D3281">
        <v>203</v>
      </c>
      <c r="E3281">
        <v>0</v>
      </c>
      <c r="F3281">
        <v>0</v>
      </c>
      <c r="G3281">
        <v>0</v>
      </c>
      <c r="H3281">
        <v>203</v>
      </c>
      <c r="I3281" s="183" t="s">
        <v>4360</v>
      </c>
      <c r="J3281" s="183" t="s">
        <v>12066</v>
      </c>
      <c r="K3281">
        <v>0</v>
      </c>
      <c r="L3281">
        <v>203</v>
      </c>
    </row>
    <row r="3282" spans="1:12">
      <c r="A3282" s="183" t="s">
        <v>4527</v>
      </c>
      <c r="B3282" s="183" t="s">
        <v>4528</v>
      </c>
      <c r="C3282">
        <v>8800269028065</v>
      </c>
      <c r="D3282">
        <v>447</v>
      </c>
      <c r="E3282">
        <v>0</v>
      </c>
      <c r="F3282">
        <v>0</v>
      </c>
      <c r="G3282">
        <v>0</v>
      </c>
      <c r="H3282">
        <v>447</v>
      </c>
      <c r="I3282" s="183" t="s">
        <v>4499</v>
      </c>
      <c r="J3282" s="183" t="s">
        <v>12059</v>
      </c>
      <c r="K3282">
        <v>0</v>
      </c>
      <c r="L3282">
        <v>447</v>
      </c>
    </row>
    <row r="3283" spans="1:12">
      <c r="A3283" s="183" t="s">
        <v>4529</v>
      </c>
      <c r="B3283" s="183" t="s">
        <v>4530</v>
      </c>
      <c r="C3283">
        <v>8800269028072</v>
      </c>
      <c r="D3283">
        <v>434</v>
      </c>
      <c r="E3283">
        <v>0</v>
      </c>
      <c r="F3283">
        <v>0</v>
      </c>
      <c r="G3283">
        <v>0</v>
      </c>
      <c r="H3283">
        <v>434</v>
      </c>
      <c r="I3283" s="183" t="s">
        <v>4499</v>
      </c>
      <c r="J3283" s="183" t="s">
        <v>12060</v>
      </c>
      <c r="K3283">
        <v>0</v>
      </c>
      <c r="L3283">
        <v>434</v>
      </c>
    </row>
    <row r="3284" spans="1:12">
      <c r="A3284" s="183" t="s">
        <v>4531</v>
      </c>
      <c r="B3284" s="183" t="s">
        <v>4532</v>
      </c>
      <c r="C3284">
        <v>8800269028096</v>
      </c>
      <c r="D3284">
        <v>455</v>
      </c>
      <c r="E3284">
        <v>0</v>
      </c>
      <c r="F3284">
        <v>0</v>
      </c>
      <c r="G3284">
        <v>0</v>
      </c>
      <c r="H3284">
        <v>455</v>
      </c>
      <c r="I3284" s="183" t="s">
        <v>4499</v>
      </c>
      <c r="J3284" s="183" t="s">
        <v>12092</v>
      </c>
      <c r="K3284">
        <v>0</v>
      </c>
      <c r="L3284">
        <v>455</v>
      </c>
    </row>
    <row r="3285" spans="1:12">
      <c r="A3285" s="183" t="s">
        <v>4533</v>
      </c>
      <c r="B3285" s="183" t="s">
        <v>4534</v>
      </c>
      <c r="C3285">
        <v>8800269028225</v>
      </c>
      <c r="D3285">
        <v>459</v>
      </c>
      <c r="E3285">
        <v>0</v>
      </c>
      <c r="F3285">
        <v>0</v>
      </c>
      <c r="G3285">
        <v>0</v>
      </c>
      <c r="H3285">
        <v>459</v>
      </c>
      <c r="I3285" s="183" t="s">
        <v>4499</v>
      </c>
      <c r="J3285" s="183" t="s">
        <v>12066</v>
      </c>
      <c r="K3285">
        <v>0</v>
      </c>
      <c r="L3285">
        <v>459</v>
      </c>
    </row>
    <row r="3286" spans="1:12">
      <c r="A3286" s="183" t="s">
        <v>4535</v>
      </c>
      <c r="B3286" s="183" t="s">
        <v>4536</v>
      </c>
      <c r="C3286">
        <v>8800269028317</v>
      </c>
      <c r="D3286">
        <v>500</v>
      </c>
      <c r="E3286">
        <v>0</v>
      </c>
      <c r="F3286">
        <v>0</v>
      </c>
      <c r="G3286">
        <v>0</v>
      </c>
      <c r="H3286">
        <v>500</v>
      </c>
      <c r="I3286" s="183" t="s">
        <v>4510</v>
      </c>
      <c r="J3286" s="183" t="s">
        <v>12050</v>
      </c>
      <c r="K3286">
        <v>0</v>
      </c>
      <c r="L3286">
        <v>500</v>
      </c>
    </row>
    <row r="3287" spans="1:12">
      <c r="A3287" s="183" t="s">
        <v>4537</v>
      </c>
      <c r="B3287" s="183" t="s">
        <v>4538</v>
      </c>
      <c r="C3287">
        <v>8800269028348</v>
      </c>
      <c r="D3287">
        <v>412</v>
      </c>
      <c r="E3287">
        <v>0</v>
      </c>
      <c r="F3287">
        <v>0</v>
      </c>
      <c r="G3287">
        <v>0</v>
      </c>
      <c r="H3287">
        <v>412</v>
      </c>
      <c r="I3287" s="183" t="s">
        <v>4510</v>
      </c>
      <c r="J3287" s="183" t="s">
        <v>12087</v>
      </c>
      <c r="K3287">
        <v>0</v>
      </c>
      <c r="L3287">
        <v>412</v>
      </c>
    </row>
    <row r="3288" spans="1:12">
      <c r="A3288" s="183" t="s">
        <v>4539</v>
      </c>
      <c r="B3288" s="183" t="s">
        <v>4540</v>
      </c>
      <c r="C3288">
        <v>8800269028508</v>
      </c>
      <c r="D3288">
        <v>430</v>
      </c>
      <c r="E3288">
        <v>0</v>
      </c>
      <c r="F3288">
        <v>0</v>
      </c>
      <c r="G3288">
        <v>0</v>
      </c>
      <c r="H3288">
        <v>430</v>
      </c>
      <c r="I3288" s="183" t="s">
        <v>4510</v>
      </c>
      <c r="J3288" s="183" t="s">
        <v>12091</v>
      </c>
      <c r="K3288">
        <v>0</v>
      </c>
      <c r="L3288">
        <v>430</v>
      </c>
    </row>
    <row r="3289" spans="1:12">
      <c r="A3289" s="183" t="s">
        <v>5940</v>
      </c>
      <c r="B3289" s="183" t="s">
        <v>5893</v>
      </c>
      <c r="C3289">
        <v>8800322956618</v>
      </c>
      <c r="D3289">
        <v>147</v>
      </c>
      <c r="E3289">
        <v>0</v>
      </c>
      <c r="F3289">
        <v>0</v>
      </c>
      <c r="G3289">
        <v>0</v>
      </c>
      <c r="H3289">
        <v>147</v>
      </c>
      <c r="I3289" s="183" t="s">
        <v>5896</v>
      </c>
      <c r="J3289" s="183" t="s">
        <v>12057</v>
      </c>
      <c r="K3289">
        <v>0</v>
      </c>
      <c r="L3289">
        <v>147</v>
      </c>
    </row>
    <row r="3290" spans="1:12">
      <c r="A3290" s="183" t="s">
        <v>5941</v>
      </c>
      <c r="B3290" s="183" t="s">
        <v>5893</v>
      </c>
      <c r="C3290">
        <v>8800322956762</v>
      </c>
      <c r="D3290">
        <v>89</v>
      </c>
      <c r="E3290">
        <v>0</v>
      </c>
      <c r="F3290">
        <v>0</v>
      </c>
      <c r="G3290">
        <v>0</v>
      </c>
      <c r="H3290">
        <v>89</v>
      </c>
      <c r="I3290" s="183" t="s">
        <v>5896</v>
      </c>
      <c r="J3290" s="183" t="s">
        <v>12055</v>
      </c>
      <c r="K3290">
        <v>0</v>
      </c>
      <c r="L3290">
        <v>89</v>
      </c>
    </row>
    <row r="3291" spans="1:12">
      <c r="A3291" s="183" t="s">
        <v>5961</v>
      </c>
      <c r="B3291" s="183" t="s">
        <v>5894</v>
      </c>
      <c r="C3291">
        <v>8800322956885</v>
      </c>
      <c r="D3291">
        <v>122</v>
      </c>
      <c r="E3291">
        <v>0</v>
      </c>
      <c r="F3291">
        <v>0</v>
      </c>
      <c r="G3291">
        <v>0</v>
      </c>
      <c r="H3291">
        <v>122</v>
      </c>
      <c r="I3291" s="183" t="s">
        <v>5899</v>
      </c>
      <c r="J3291" s="183" t="s">
        <v>12066</v>
      </c>
      <c r="K3291">
        <v>0</v>
      </c>
      <c r="L3291">
        <v>122</v>
      </c>
    </row>
    <row r="3292" spans="1:12">
      <c r="A3292" s="183" t="s">
        <v>5994</v>
      </c>
      <c r="B3292" s="183" t="s">
        <v>5984</v>
      </c>
      <c r="C3292">
        <v>8800322957035</v>
      </c>
      <c r="D3292">
        <v>221</v>
      </c>
      <c r="E3292">
        <v>0</v>
      </c>
      <c r="F3292">
        <v>0</v>
      </c>
      <c r="G3292">
        <v>0</v>
      </c>
      <c r="H3292">
        <v>221</v>
      </c>
      <c r="I3292" s="183" t="s">
        <v>5985</v>
      </c>
      <c r="J3292" s="183" t="s">
        <v>12052</v>
      </c>
      <c r="K3292">
        <v>0</v>
      </c>
      <c r="L3292">
        <v>221</v>
      </c>
    </row>
    <row r="3293" spans="1:12">
      <c r="A3293" s="183" t="s">
        <v>6012</v>
      </c>
      <c r="B3293" s="183" t="s">
        <v>5984</v>
      </c>
      <c r="C3293">
        <v>8800322957110</v>
      </c>
      <c r="D3293">
        <v>125</v>
      </c>
      <c r="E3293">
        <v>0</v>
      </c>
      <c r="F3293">
        <v>0</v>
      </c>
      <c r="G3293">
        <v>0</v>
      </c>
      <c r="H3293">
        <v>125</v>
      </c>
      <c r="I3293" s="183" t="s">
        <v>5985</v>
      </c>
      <c r="J3293" s="183" t="s">
        <v>12055</v>
      </c>
      <c r="K3293">
        <v>0</v>
      </c>
      <c r="L3293">
        <v>125</v>
      </c>
    </row>
    <row r="3294" spans="1:12">
      <c r="A3294" s="183" t="s">
        <v>6013</v>
      </c>
      <c r="B3294" s="183" t="s">
        <v>5984</v>
      </c>
      <c r="C3294">
        <v>8800322957219</v>
      </c>
      <c r="D3294">
        <v>119</v>
      </c>
      <c r="E3294">
        <v>0</v>
      </c>
      <c r="F3294">
        <v>0</v>
      </c>
      <c r="G3294">
        <v>0</v>
      </c>
      <c r="H3294">
        <v>119</v>
      </c>
      <c r="I3294" s="183" t="s">
        <v>5985</v>
      </c>
      <c r="J3294" s="183" t="s">
        <v>12066</v>
      </c>
      <c r="K3294">
        <v>0</v>
      </c>
      <c r="L3294">
        <v>119</v>
      </c>
    </row>
    <row r="3295" spans="1:12">
      <c r="A3295" s="183" t="s">
        <v>5942</v>
      </c>
      <c r="B3295" s="183" t="s">
        <v>5914</v>
      </c>
      <c r="C3295">
        <v>8800322957349</v>
      </c>
      <c r="D3295">
        <v>199</v>
      </c>
      <c r="E3295">
        <v>0</v>
      </c>
      <c r="F3295">
        <v>0</v>
      </c>
      <c r="G3295">
        <v>0</v>
      </c>
      <c r="H3295">
        <v>199</v>
      </c>
      <c r="I3295" s="183" t="s">
        <v>5915</v>
      </c>
      <c r="J3295" s="183" t="s">
        <v>12061</v>
      </c>
      <c r="K3295">
        <v>0</v>
      </c>
      <c r="L3295">
        <v>199</v>
      </c>
    </row>
    <row r="3296" spans="1:12">
      <c r="A3296" s="183" t="s">
        <v>6014</v>
      </c>
      <c r="B3296" s="183" t="s">
        <v>5995</v>
      </c>
      <c r="C3296">
        <v>8800322957585</v>
      </c>
      <c r="D3296">
        <v>112</v>
      </c>
      <c r="E3296">
        <v>0</v>
      </c>
      <c r="F3296">
        <v>0</v>
      </c>
      <c r="G3296">
        <v>0</v>
      </c>
      <c r="H3296">
        <v>112</v>
      </c>
      <c r="I3296" s="183" t="s">
        <v>5999</v>
      </c>
      <c r="J3296" s="183" t="s">
        <v>12095</v>
      </c>
      <c r="K3296">
        <v>0</v>
      </c>
      <c r="L3296">
        <v>112</v>
      </c>
    </row>
    <row r="3297" spans="1:12">
      <c r="A3297" s="183" t="s">
        <v>6015</v>
      </c>
      <c r="B3297" s="183" t="s">
        <v>5995</v>
      </c>
      <c r="C3297">
        <v>8800322957622</v>
      </c>
      <c r="D3297">
        <v>115</v>
      </c>
      <c r="E3297">
        <v>0</v>
      </c>
      <c r="F3297">
        <v>0</v>
      </c>
      <c r="G3297">
        <v>0</v>
      </c>
      <c r="H3297">
        <v>115</v>
      </c>
      <c r="I3297" s="183" t="s">
        <v>5999</v>
      </c>
      <c r="J3297" s="183" t="s">
        <v>12048</v>
      </c>
      <c r="K3297">
        <v>0</v>
      </c>
      <c r="L3297">
        <v>115</v>
      </c>
    </row>
    <row r="3298" spans="1:12">
      <c r="A3298" s="183" t="s">
        <v>6016</v>
      </c>
      <c r="B3298" s="183" t="s">
        <v>5995</v>
      </c>
      <c r="C3298">
        <v>8800322957738</v>
      </c>
      <c r="D3298">
        <v>124</v>
      </c>
      <c r="E3298">
        <v>0</v>
      </c>
      <c r="F3298">
        <v>0</v>
      </c>
      <c r="G3298">
        <v>0</v>
      </c>
      <c r="H3298">
        <v>124</v>
      </c>
      <c r="I3298" s="183" t="s">
        <v>5999</v>
      </c>
      <c r="J3298" s="183" t="s">
        <v>12063</v>
      </c>
      <c r="K3298">
        <v>0</v>
      </c>
      <c r="L3298">
        <v>124</v>
      </c>
    </row>
    <row r="3299" spans="1:12">
      <c r="A3299" s="183" t="s">
        <v>6017</v>
      </c>
      <c r="B3299" s="183" t="s">
        <v>5995</v>
      </c>
      <c r="C3299">
        <v>8800322957783</v>
      </c>
      <c r="D3299">
        <v>70</v>
      </c>
      <c r="E3299">
        <v>0</v>
      </c>
      <c r="F3299">
        <v>0</v>
      </c>
      <c r="G3299">
        <v>0</v>
      </c>
      <c r="H3299">
        <v>70</v>
      </c>
      <c r="I3299" s="183" t="s">
        <v>5999</v>
      </c>
      <c r="J3299" s="183" t="s">
        <v>12056</v>
      </c>
      <c r="K3299">
        <v>0</v>
      </c>
      <c r="L3299">
        <v>70</v>
      </c>
    </row>
    <row r="3300" spans="1:12">
      <c r="A3300" s="183" t="s">
        <v>9116</v>
      </c>
      <c r="B3300" s="183" t="s">
        <v>8644</v>
      </c>
      <c r="C3300">
        <v>8800358456441</v>
      </c>
      <c r="D3300">
        <v>340</v>
      </c>
      <c r="E3300">
        <v>0</v>
      </c>
      <c r="F3300">
        <v>0</v>
      </c>
      <c r="G3300">
        <v>0</v>
      </c>
      <c r="H3300">
        <v>340</v>
      </c>
      <c r="I3300" s="183" t="s">
        <v>8996</v>
      </c>
      <c r="J3300" s="183" t="s">
        <v>12055</v>
      </c>
      <c r="K3300">
        <v>0</v>
      </c>
      <c r="L3300">
        <v>340</v>
      </c>
    </row>
    <row r="3301" spans="1:12">
      <c r="A3301" s="183" t="s">
        <v>575</v>
      </c>
      <c r="B3301" s="183" t="s">
        <v>1001</v>
      </c>
      <c r="C3301">
        <v>33050204</v>
      </c>
      <c r="D3301">
        <v>42</v>
      </c>
      <c r="E3301">
        <v>0</v>
      </c>
      <c r="F3301">
        <v>15</v>
      </c>
      <c r="G3301">
        <v>0</v>
      </c>
      <c r="H3301">
        <v>57</v>
      </c>
      <c r="I3301" s="183" t="s">
        <v>1002</v>
      </c>
      <c r="J3301" s="183" t="s">
        <v>12087</v>
      </c>
      <c r="K3301">
        <v>0</v>
      </c>
      <c r="L3301">
        <v>42</v>
      </c>
    </row>
    <row r="3302" spans="1:12">
      <c r="A3302" s="183" t="s">
        <v>578</v>
      </c>
      <c r="B3302" s="183" t="s">
        <v>1001</v>
      </c>
      <c r="C3302">
        <v>33050207</v>
      </c>
      <c r="D3302">
        <v>47</v>
      </c>
      <c r="E3302">
        <v>0</v>
      </c>
      <c r="F3302">
        <v>54</v>
      </c>
      <c r="G3302">
        <v>0</v>
      </c>
      <c r="H3302">
        <v>101</v>
      </c>
      <c r="I3302" s="183" t="s">
        <v>1002</v>
      </c>
      <c r="J3302" s="183" t="s">
        <v>12081</v>
      </c>
      <c r="K3302">
        <v>0</v>
      </c>
      <c r="L3302">
        <v>47</v>
      </c>
    </row>
    <row r="3303" spans="1:12">
      <c r="A3303" s="183" t="s">
        <v>3544</v>
      </c>
      <c r="B3303" s="183" t="s">
        <v>1001</v>
      </c>
      <c r="C3303">
        <v>33050209</v>
      </c>
      <c r="D3303">
        <v>28</v>
      </c>
      <c r="E3303">
        <v>0</v>
      </c>
      <c r="F3303">
        <v>40</v>
      </c>
      <c r="G3303">
        <v>0</v>
      </c>
      <c r="H3303">
        <v>68</v>
      </c>
      <c r="I3303" s="183" t="s">
        <v>1002</v>
      </c>
      <c r="J3303" s="183" t="s">
        <v>12048</v>
      </c>
      <c r="K3303">
        <v>0</v>
      </c>
      <c r="L3303">
        <v>28</v>
      </c>
    </row>
    <row r="3304" spans="1:12">
      <c r="A3304" s="183" t="s">
        <v>581</v>
      </c>
      <c r="B3304" s="183" t="s">
        <v>1001</v>
      </c>
      <c r="C3304">
        <v>33050212</v>
      </c>
      <c r="D3304">
        <v>44</v>
      </c>
      <c r="E3304">
        <v>0</v>
      </c>
      <c r="F3304">
        <v>28</v>
      </c>
      <c r="G3304">
        <v>0</v>
      </c>
      <c r="H3304">
        <v>72</v>
      </c>
      <c r="I3304" s="183" t="s">
        <v>1002</v>
      </c>
      <c r="J3304" s="183" t="s">
        <v>12054</v>
      </c>
      <c r="K3304">
        <v>0</v>
      </c>
      <c r="L3304">
        <v>44</v>
      </c>
    </row>
    <row r="3305" spans="1:12">
      <c r="A3305" s="183" t="s">
        <v>587</v>
      </c>
      <c r="B3305" s="183" t="s">
        <v>1001</v>
      </c>
      <c r="C3305">
        <v>33050222</v>
      </c>
      <c r="D3305">
        <v>64</v>
      </c>
      <c r="E3305">
        <v>0</v>
      </c>
      <c r="F3305">
        <v>14</v>
      </c>
      <c r="G3305">
        <v>0</v>
      </c>
      <c r="H3305">
        <v>78</v>
      </c>
      <c r="I3305" s="183" t="s">
        <v>1002</v>
      </c>
      <c r="J3305" s="183" t="s">
        <v>12067</v>
      </c>
      <c r="K3305">
        <v>0</v>
      </c>
      <c r="L3305">
        <v>64</v>
      </c>
    </row>
    <row r="3306" spans="1:12">
      <c r="A3306" s="183" t="s">
        <v>589</v>
      </c>
      <c r="B3306" s="183" t="s">
        <v>1001</v>
      </c>
      <c r="C3306">
        <v>33050224</v>
      </c>
      <c r="D3306">
        <v>121</v>
      </c>
      <c r="E3306">
        <v>0</v>
      </c>
      <c r="F3306">
        <v>4</v>
      </c>
      <c r="G3306">
        <v>0</v>
      </c>
      <c r="H3306">
        <v>125</v>
      </c>
      <c r="I3306" s="183" t="s">
        <v>1002</v>
      </c>
      <c r="J3306" s="183" t="s">
        <v>12057</v>
      </c>
      <c r="K3306">
        <v>0</v>
      </c>
      <c r="L3306">
        <v>121</v>
      </c>
    </row>
    <row r="3307" spans="1:12">
      <c r="A3307" s="183" t="s">
        <v>593</v>
      </c>
      <c r="B3307" s="183" t="s">
        <v>1001</v>
      </c>
      <c r="C3307">
        <v>33050232</v>
      </c>
      <c r="D3307">
        <v>0</v>
      </c>
      <c r="E3307">
        <v>0</v>
      </c>
      <c r="F3307">
        <v>25</v>
      </c>
      <c r="G3307">
        <v>0</v>
      </c>
      <c r="H3307">
        <v>25</v>
      </c>
      <c r="I3307" s="183" t="s">
        <v>1002</v>
      </c>
      <c r="J3307" s="183" t="s">
        <v>12054</v>
      </c>
      <c r="K3307">
        <v>0</v>
      </c>
      <c r="L3307">
        <v>0</v>
      </c>
    </row>
    <row r="3308" spans="1:12">
      <c r="A3308" s="183" t="s">
        <v>5996</v>
      </c>
      <c r="B3308" s="183" t="s">
        <v>5984</v>
      </c>
      <c r="C3308">
        <v>8800322957165</v>
      </c>
      <c r="D3308">
        <v>153</v>
      </c>
      <c r="E3308">
        <v>0</v>
      </c>
      <c r="F3308">
        <v>0</v>
      </c>
      <c r="G3308">
        <v>0</v>
      </c>
      <c r="H3308">
        <v>153</v>
      </c>
      <c r="I3308" s="183" t="s">
        <v>5985</v>
      </c>
      <c r="J3308" s="183" t="s">
        <v>12050</v>
      </c>
      <c r="K3308">
        <v>0</v>
      </c>
      <c r="L3308">
        <v>153</v>
      </c>
    </row>
    <row r="3309" spans="1:12">
      <c r="A3309" s="183" t="s">
        <v>5997</v>
      </c>
      <c r="B3309" s="183" t="s">
        <v>5984</v>
      </c>
      <c r="C3309">
        <v>8800322957264</v>
      </c>
      <c r="D3309">
        <v>70</v>
      </c>
      <c r="E3309">
        <v>0</v>
      </c>
      <c r="F3309">
        <v>0</v>
      </c>
      <c r="G3309">
        <v>0</v>
      </c>
      <c r="H3309">
        <v>70</v>
      </c>
      <c r="I3309" s="183" t="s">
        <v>5985</v>
      </c>
      <c r="J3309" s="183" t="s">
        <v>12050</v>
      </c>
      <c r="K3309">
        <v>0</v>
      </c>
      <c r="L3309">
        <v>70</v>
      </c>
    </row>
    <row r="3310" spans="1:12">
      <c r="A3310" s="183" t="s">
        <v>5913</v>
      </c>
      <c r="B3310" s="183" t="s">
        <v>5914</v>
      </c>
      <c r="C3310">
        <v>8800322957325</v>
      </c>
      <c r="D3310">
        <v>160</v>
      </c>
      <c r="E3310">
        <v>0</v>
      </c>
      <c r="F3310">
        <v>0</v>
      </c>
      <c r="G3310">
        <v>0</v>
      </c>
      <c r="H3310">
        <v>160</v>
      </c>
      <c r="I3310" s="183" t="s">
        <v>5915</v>
      </c>
      <c r="J3310" s="183" t="s">
        <v>12055</v>
      </c>
      <c r="K3310">
        <v>0</v>
      </c>
      <c r="L3310">
        <v>160</v>
      </c>
    </row>
    <row r="3311" spans="1:12">
      <c r="A3311" s="183" t="s">
        <v>5916</v>
      </c>
      <c r="B3311" s="183" t="s">
        <v>5914</v>
      </c>
      <c r="C3311">
        <v>8800322957332</v>
      </c>
      <c r="D3311">
        <v>170</v>
      </c>
      <c r="E3311">
        <v>0</v>
      </c>
      <c r="F3311">
        <v>0</v>
      </c>
      <c r="G3311">
        <v>0</v>
      </c>
      <c r="H3311">
        <v>170</v>
      </c>
      <c r="I3311" s="183" t="s">
        <v>5915</v>
      </c>
      <c r="J3311" s="183" t="s">
        <v>12050</v>
      </c>
      <c r="K3311">
        <v>0</v>
      </c>
      <c r="L3311">
        <v>170</v>
      </c>
    </row>
    <row r="3312" spans="1:12">
      <c r="A3312" s="183" t="s">
        <v>5917</v>
      </c>
      <c r="B3312" s="183" t="s">
        <v>5914</v>
      </c>
      <c r="C3312">
        <v>8800322957417</v>
      </c>
      <c r="D3312">
        <v>161</v>
      </c>
      <c r="E3312">
        <v>0</v>
      </c>
      <c r="F3312">
        <v>0</v>
      </c>
      <c r="G3312">
        <v>0</v>
      </c>
      <c r="H3312">
        <v>161</v>
      </c>
      <c r="I3312" s="183" t="s">
        <v>5915</v>
      </c>
      <c r="J3312" s="183" t="s">
        <v>12066</v>
      </c>
      <c r="K3312">
        <v>0</v>
      </c>
      <c r="L3312">
        <v>161</v>
      </c>
    </row>
    <row r="3313" spans="1:12">
      <c r="A3313" s="183" t="s">
        <v>5918</v>
      </c>
      <c r="B3313" s="183" t="s">
        <v>5914</v>
      </c>
      <c r="C3313">
        <v>8800322957424</v>
      </c>
      <c r="D3313">
        <v>142</v>
      </c>
      <c r="E3313">
        <v>0</v>
      </c>
      <c r="F3313">
        <v>0</v>
      </c>
      <c r="G3313">
        <v>0</v>
      </c>
      <c r="H3313">
        <v>142</v>
      </c>
      <c r="I3313" s="183" t="s">
        <v>5915</v>
      </c>
      <c r="J3313" s="183" t="s">
        <v>12050</v>
      </c>
      <c r="K3313">
        <v>0</v>
      </c>
      <c r="L3313">
        <v>142</v>
      </c>
    </row>
    <row r="3314" spans="1:12">
      <c r="A3314" s="183" t="s">
        <v>5990</v>
      </c>
      <c r="B3314" s="183" t="s">
        <v>5914</v>
      </c>
      <c r="C3314">
        <v>8800322957448</v>
      </c>
      <c r="D3314">
        <v>132</v>
      </c>
      <c r="E3314">
        <v>0</v>
      </c>
      <c r="F3314">
        <v>0</v>
      </c>
      <c r="G3314">
        <v>0</v>
      </c>
      <c r="H3314">
        <v>132</v>
      </c>
      <c r="I3314" s="183" t="s">
        <v>5915</v>
      </c>
      <c r="J3314" s="183" t="s">
        <v>12052</v>
      </c>
      <c r="K3314">
        <v>0</v>
      </c>
      <c r="L3314">
        <v>132</v>
      </c>
    </row>
    <row r="3315" spans="1:12">
      <c r="A3315" s="183" t="s">
        <v>5991</v>
      </c>
      <c r="B3315" s="183" t="s">
        <v>5914</v>
      </c>
      <c r="C3315">
        <v>8800322957523</v>
      </c>
      <c r="D3315">
        <v>162</v>
      </c>
      <c r="E3315">
        <v>0</v>
      </c>
      <c r="F3315">
        <v>0</v>
      </c>
      <c r="G3315">
        <v>0</v>
      </c>
      <c r="H3315">
        <v>162</v>
      </c>
      <c r="I3315" s="183" t="s">
        <v>5915</v>
      </c>
      <c r="J3315" s="183" t="s">
        <v>12063</v>
      </c>
      <c r="K3315">
        <v>0</v>
      </c>
      <c r="L3315">
        <v>162</v>
      </c>
    </row>
    <row r="3316" spans="1:12">
      <c r="A3316" s="183" t="s">
        <v>5992</v>
      </c>
      <c r="B3316" s="183" t="s">
        <v>5914</v>
      </c>
      <c r="C3316">
        <v>8800322957547</v>
      </c>
      <c r="D3316">
        <v>72</v>
      </c>
      <c r="E3316">
        <v>0</v>
      </c>
      <c r="F3316">
        <v>0</v>
      </c>
      <c r="G3316">
        <v>0</v>
      </c>
      <c r="H3316">
        <v>72</v>
      </c>
      <c r="I3316" s="183" t="s">
        <v>5915</v>
      </c>
      <c r="J3316" s="183" t="s">
        <v>12061</v>
      </c>
      <c r="K3316">
        <v>0</v>
      </c>
      <c r="L3316">
        <v>72</v>
      </c>
    </row>
    <row r="3317" spans="1:12">
      <c r="A3317" s="183" t="s">
        <v>5998</v>
      </c>
      <c r="B3317" s="183" t="s">
        <v>5995</v>
      </c>
      <c r="C3317">
        <v>8800322957639</v>
      </c>
      <c r="D3317">
        <v>107</v>
      </c>
      <c r="E3317">
        <v>0</v>
      </c>
      <c r="F3317">
        <v>0</v>
      </c>
      <c r="G3317">
        <v>0</v>
      </c>
      <c r="H3317">
        <v>107</v>
      </c>
      <c r="I3317" s="183" t="s">
        <v>5999</v>
      </c>
      <c r="J3317" s="183" t="s">
        <v>12050</v>
      </c>
      <c r="K3317">
        <v>0</v>
      </c>
      <c r="L3317">
        <v>107</v>
      </c>
    </row>
    <row r="3318" spans="1:12">
      <c r="A3318" s="183" t="s">
        <v>9036</v>
      </c>
      <c r="B3318" s="183" t="s">
        <v>8644</v>
      </c>
      <c r="C3318">
        <v>8800358456434</v>
      </c>
      <c r="D3318">
        <v>420</v>
      </c>
      <c r="E3318">
        <v>0</v>
      </c>
      <c r="F3318">
        <v>0</v>
      </c>
      <c r="G3318">
        <v>0</v>
      </c>
      <c r="H3318">
        <v>420</v>
      </c>
      <c r="I3318" s="183" t="s">
        <v>8996</v>
      </c>
      <c r="J3318" s="183" t="s">
        <v>12063</v>
      </c>
      <c r="K3318">
        <v>0</v>
      </c>
      <c r="L3318">
        <v>420</v>
      </c>
    </row>
    <row r="3319" spans="1:12">
      <c r="A3319" s="183" t="s">
        <v>9037</v>
      </c>
      <c r="B3319" s="183" t="s">
        <v>8644</v>
      </c>
      <c r="C3319">
        <v>8800358456496</v>
      </c>
      <c r="D3319">
        <v>379</v>
      </c>
      <c r="E3319">
        <v>0</v>
      </c>
      <c r="F3319">
        <v>0</v>
      </c>
      <c r="G3319">
        <v>0</v>
      </c>
      <c r="H3319">
        <v>379</v>
      </c>
      <c r="I3319" s="183" t="s">
        <v>8996</v>
      </c>
      <c r="J3319" s="183" t="s">
        <v>12061</v>
      </c>
      <c r="K3319">
        <v>0</v>
      </c>
      <c r="L3319">
        <v>379</v>
      </c>
    </row>
    <row r="3320" spans="1:12">
      <c r="A3320" s="183" t="s">
        <v>9038</v>
      </c>
      <c r="B3320" s="183" t="s">
        <v>8644</v>
      </c>
      <c r="C3320">
        <v>8800358456502</v>
      </c>
      <c r="D3320">
        <v>360</v>
      </c>
      <c r="E3320">
        <v>0</v>
      </c>
      <c r="F3320">
        <v>0</v>
      </c>
      <c r="G3320">
        <v>0</v>
      </c>
      <c r="H3320">
        <v>360</v>
      </c>
      <c r="I3320" s="183" t="s">
        <v>8996</v>
      </c>
      <c r="J3320" s="183" t="s">
        <v>12048</v>
      </c>
      <c r="K3320">
        <v>0</v>
      </c>
      <c r="L3320">
        <v>360</v>
      </c>
    </row>
    <row r="3321" spans="1:12">
      <c r="A3321" s="183" t="s">
        <v>9039</v>
      </c>
      <c r="B3321" s="183" t="s">
        <v>8644</v>
      </c>
      <c r="C3321">
        <v>8800358456533</v>
      </c>
      <c r="D3321">
        <v>340</v>
      </c>
      <c r="E3321">
        <v>0</v>
      </c>
      <c r="F3321">
        <v>0</v>
      </c>
      <c r="G3321">
        <v>0</v>
      </c>
      <c r="H3321">
        <v>340</v>
      </c>
      <c r="I3321" s="183" t="s">
        <v>8996</v>
      </c>
      <c r="J3321" s="183" t="s">
        <v>12087</v>
      </c>
      <c r="K3321">
        <v>0</v>
      </c>
      <c r="L3321">
        <v>340</v>
      </c>
    </row>
    <row r="3322" spans="1:12">
      <c r="A3322" s="183" t="s">
        <v>9040</v>
      </c>
      <c r="B3322" s="183" t="s">
        <v>8644</v>
      </c>
      <c r="C3322">
        <v>8800358456595</v>
      </c>
      <c r="D3322">
        <v>340</v>
      </c>
      <c r="E3322">
        <v>0</v>
      </c>
      <c r="F3322">
        <v>0</v>
      </c>
      <c r="G3322">
        <v>0</v>
      </c>
      <c r="H3322">
        <v>340</v>
      </c>
      <c r="I3322" s="183" t="s">
        <v>8996</v>
      </c>
      <c r="J3322" s="183" t="s">
        <v>12087</v>
      </c>
      <c r="K3322">
        <v>0</v>
      </c>
      <c r="L3322">
        <v>340</v>
      </c>
    </row>
    <row r="3323" spans="1:12">
      <c r="A3323" s="183" t="s">
        <v>9041</v>
      </c>
      <c r="B3323" s="183" t="s">
        <v>8644</v>
      </c>
      <c r="C3323">
        <v>8800358456601</v>
      </c>
      <c r="D3323">
        <v>380</v>
      </c>
      <c r="E3323">
        <v>0</v>
      </c>
      <c r="F3323">
        <v>0</v>
      </c>
      <c r="G3323">
        <v>0</v>
      </c>
      <c r="H3323">
        <v>380</v>
      </c>
      <c r="I3323" s="183" t="s">
        <v>8996</v>
      </c>
      <c r="J3323" s="183" t="s">
        <v>12066</v>
      </c>
      <c r="K3323">
        <v>0</v>
      </c>
      <c r="L3323">
        <v>380</v>
      </c>
    </row>
    <row r="3324" spans="1:12">
      <c r="A3324" s="183" t="s">
        <v>582</v>
      </c>
      <c r="B3324" s="183" t="s">
        <v>1001</v>
      </c>
      <c r="C3324">
        <v>33050214</v>
      </c>
      <c r="D3324">
        <v>39</v>
      </c>
      <c r="E3324">
        <v>0</v>
      </c>
      <c r="F3324">
        <v>5</v>
      </c>
      <c r="G3324">
        <v>0</v>
      </c>
      <c r="H3324">
        <v>44</v>
      </c>
      <c r="I3324" s="183" t="s">
        <v>1002</v>
      </c>
      <c r="J3324" s="183" t="s">
        <v>12059</v>
      </c>
      <c r="K3324">
        <v>0</v>
      </c>
      <c r="L3324">
        <v>39</v>
      </c>
    </row>
    <row r="3325" spans="1:12">
      <c r="A3325" s="183" t="s">
        <v>588</v>
      </c>
      <c r="B3325" s="183" t="s">
        <v>1001</v>
      </c>
      <c r="C3325">
        <v>33050223</v>
      </c>
      <c r="D3325">
        <v>72</v>
      </c>
      <c r="E3325">
        <v>0</v>
      </c>
      <c r="F3325">
        <v>6</v>
      </c>
      <c r="G3325">
        <v>0</v>
      </c>
      <c r="H3325">
        <v>78</v>
      </c>
      <c r="I3325" s="183" t="s">
        <v>1002</v>
      </c>
      <c r="J3325" s="183" t="s">
        <v>12093</v>
      </c>
      <c r="K3325">
        <v>0</v>
      </c>
      <c r="L3325">
        <v>72</v>
      </c>
    </row>
    <row r="3326" spans="1:12">
      <c r="A3326" s="183" t="s">
        <v>3543</v>
      </c>
      <c r="B3326" s="183" t="s">
        <v>979</v>
      </c>
      <c r="C3326">
        <v>35010216</v>
      </c>
      <c r="D3326">
        <v>79</v>
      </c>
      <c r="E3326">
        <v>0</v>
      </c>
      <c r="F3326">
        <v>26</v>
      </c>
      <c r="G3326">
        <v>0</v>
      </c>
      <c r="H3326">
        <v>105</v>
      </c>
      <c r="I3326" s="183" t="s">
        <v>980</v>
      </c>
      <c r="J3326" s="183" t="s">
        <v>12054</v>
      </c>
      <c r="K3326">
        <v>0</v>
      </c>
      <c r="L3326">
        <v>79</v>
      </c>
    </row>
    <row r="3327" spans="1:12">
      <c r="A3327" s="183" t="s">
        <v>3529</v>
      </c>
      <c r="B3327" s="183" t="s">
        <v>979</v>
      </c>
      <c r="C3327">
        <v>35010219</v>
      </c>
      <c r="D3327">
        <v>132</v>
      </c>
      <c r="E3327">
        <v>0</v>
      </c>
      <c r="F3327">
        <v>21</v>
      </c>
      <c r="G3327">
        <v>0</v>
      </c>
      <c r="H3327">
        <v>153</v>
      </c>
      <c r="I3327" s="183" t="s">
        <v>980</v>
      </c>
      <c r="J3327" s="183" t="s">
        <v>12053</v>
      </c>
      <c r="K3327">
        <v>0</v>
      </c>
      <c r="L3327">
        <v>132</v>
      </c>
    </row>
    <row r="3328" spans="1:12">
      <c r="A3328" s="183" t="s">
        <v>607</v>
      </c>
      <c r="B3328" s="183" t="s">
        <v>979</v>
      </c>
      <c r="C3328">
        <v>35010232</v>
      </c>
      <c r="D3328">
        <v>0</v>
      </c>
      <c r="E3328">
        <v>0</v>
      </c>
      <c r="F3328">
        <v>21</v>
      </c>
      <c r="G3328">
        <v>0</v>
      </c>
      <c r="H3328">
        <v>21</v>
      </c>
      <c r="I3328" s="183" t="s">
        <v>980</v>
      </c>
      <c r="J3328" s="183" t="s">
        <v>12091</v>
      </c>
      <c r="K3328">
        <v>0</v>
      </c>
      <c r="L3328">
        <v>0</v>
      </c>
    </row>
    <row r="3329" spans="1:12">
      <c r="A3329" s="183" t="s">
        <v>612</v>
      </c>
      <c r="B3329" s="183" t="s">
        <v>1008</v>
      </c>
      <c r="C3329">
        <v>35020203</v>
      </c>
      <c r="D3329">
        <v>85</v>
      </c>
      <c r="E3329">
        <v>0</v>
      </c>
      <c r="F3329">
        <v>40</v>
      </c>
      <c r="G3329">
        <v>0</v>
      </c>
      <c r="H3329">
        <v>125</v>
      </c>
      <c r="I3329" s="183" t="s">
        <v>1009</v>
      </c>
      <c r="J3329" s="183" t="s">
        <v>12058</v>
      </c>
      <c r="K3329">
        <v>0</v>
      </c>
      <c r="L3329">
        <v>85</v>
      </c>
    </row>
    <row r="3330" spans="1:12">
      <c r="A3330" s="183" t="s">
        <v>3688</v>
      </c>
      <c r="B3330" s="183" t="s">
        <v>1008</v>
      </c>
      <c r="C3330">
        <v>35020212</v>
      </c>
      <c r="D3330">
        <v>33</v>
      </c>
      <c r="E3330">
        <v>0</v>
      </c>
      <c r="F3330">
        <v>11</v>
      </c>
      <c r="G3330">
        <v>0</v>
      </c>
      <c r="H3330">
        <v>44</v>
      </c>
      <c r="I3330" s="183" t="s">
        <v>1009</v>
      </c>
      <c r="J3330" s="183" t="s">
        <v>12066</v>
      </c>
      <c r="K3330">
        <v>0</v>
      </c>
      <c r="L3330">
        <v>33</v>
      </c>
    </row>
    <row r="3331" spans="1:12">
      <c r="A3331" s="183" t="s">
        <v>622</v>
      </c>
      <c r="B3331" s="183" t="s">
        <v>1008</v>
      </c>
      <c r="C3331">
        <v>35020219</v>
      </c>
      <c r="D3331">
        <v>65</v>
      </c>
      <c r="E3331">
        <v>0</v>
      </c>
      <c r="F3331">
        <v>54</v>
      </c>
      <c r="G3331">
        <v>0</v>
      </c>
      <c r="H3331">
        <v>119</v>
      </c>
      <c r="I3331" s="183" t="s">
        <v>1009</v>
      </c>
      <c r="J3331" s="183" t="s">
        <v>12054</v>
      </c>
      <c r="K3331">
        <v>0</v>
      </c>
      <c r="L3331">
        <v>65</v>
      </c>
    </row>
    <row r="3332" spans="1:12">
      <c r="A3332" s="183" t="s">
        <v>626</v>
      </c>
      <c r="B3332" s="183" t="s">
        <v>1008</v>
      </c>
      <c r="C3332">
        <v>35020223</v>
      </c>
      <c r="D3332">
        <v>45</v>
      </c>
      <c r="E3332">
        <v>0</v>
      </c>
      <c r="F3332">
        <v>10</v>
      </c>
      <c r="G3332">
        <v>0</v>
      </c>
      <c r="H3332">
        <v>55</v>
      </c>
      <c r="I3332" s="183" t="s">
        <v>1009</v>
      </c>
      <c r="J3332" s="183" t="s">
        <v>12092</v>
      </c>
      <c r="K3332">
        <v>0</v>
      </c>
      <c r="L3332">
        <v>45</v>
      </c>
    </row>
    <row r="3333" spans="1:12">
      <c r="A3333" s="183" t="s">
        <v>9042</v>
      </c>
      <c r="B3333" s="183" t="s">
        <v>8646</v>
      </c>
      <c r="C3333">
        <v>8800358456724</v>
      </c>
      <c r="D3333">
        <v>320</v>
      </c>
      <c r="E3333">
        <v>0</v>
      </c>
      <c r="F3333">
        <v>0</v>
      </c>
      <c r="G3333">
        <v>0</v>
      </c>
      <c r="H3333">
        <v>320</v>
      </c>
      <c r="I3333" s="183" t="s">
        <v>9000</v>
      </c>
      <c r="J3333" s="183" t="s">
        <v>12087</v>
      </c>
      <c r="K3333">
        <v>0</v>
      </c>
      <c r="L3333">
        <v>320</v>
      </c>
    </row>
    <row r="3334" spans="1:12">
      <c r="A3334" s="183" t="s">
        <v>9043</v>
      </c>
      <c r="B3334" s="183" t="s">
        <v>8646</v>
      </c>
      <c r="C3334">
        <v>8800358456779</v>
      </c>
      <c r="D3334">
        <v>300</v>
      </c>
      <c r="E3334">
        <v>0</v>
      </c>
      <c r="F3334">
        <v>0</v>
      </c>
      <c r="G3334">
        <v>0</v>
      </c>
      <c r="H3334">
        <v>300</v>
      </c>
      <c r="I3334" s="183" t="s">
        <v>9000</v>
      </c>
      <c r="J3334" s="183" t="s">
        <v>12050</v>
      </c>
      <c r="K3334">
        <v>0</v>
      </c>
      <c r="L3334">
        <v>300</v>
      </c>
    </row>
    <row r="3335" spans="1:12">
      <c r="A3335" s="183" t="s">
        <v>9044</v>
      </c>
      <c r="B3335" s="183" t="s">
        <v>8646</v>
      </c>
      <c r="C3335">
        <v>8800358456854</v>
      </c>
      <c r="D3335">
        <v>400</v>
      </c>
      <c r="E3335">
        <v>0</v>
      </c>
      <c r="F3335">
        <v>0</v>
      </c>
      <c r="G3335">
        <v>0</v>
      </c>
      <c r="H3335">
        <v>400</v>
      </c>
      <c r="I3335" s="183" t="s">
        <v>9000</v>
      </c>
      <c r="J3335" s="183" t="s">
        <v>12048</v>
      </c>
      <c r="K3335">
        <v>0</v>
      </c>
      <c r="L3335">
        <v>400</v>
      </c>
    </row>
    <row r="3336" spans="1:12">
      <c r="A3336" s="183" t="s">
        <v>9045</v>
      </c>
      <c r="B3336" s="183" t="s">
        <v>8646</v>
      </c>
      <c r="C3336">
        <v>8800358456861</v>
      </c>
      <c r="D3336">
        <v>300</v>
      </c>
      <c r="E3336">
        <v>0</v>
      </c>
      <c r="F3336">
        <v>0</v>
      </c>
      <c r="G3336">
        <v>0</v>
      </c>
      <c r="H3336">
        <v>300</v>
      </c>
      <c r="I3336" s="183" t="s">
        <v>9000</v>
      </c>
      <c r="J3336" s="183" t="s">
        <v>12063</v>
      </c>
      <c r="K3336">
        <v>0</v>
      </c>
      <c r="L3336">
        <v>300</v>
      </c>
    </row>
    <row r="3337" spans="1:12">
      <c r="A3337" s="183" t="s">
        <v>9046</v>
      </c>
      <c r="B3337" s="183" t="s">
        <v>8646</v>
      </c>
      <c r="C3337">
        <v>8800358456892</v>
      </c>
      <c r="D3337">
        <v>300</v>
      </c>
      <c r="E3337">
        <v>0</v>
      </c>
      <c r="F3337">
        <v>0</v>
      </c>
      <c r="G3337">
        <v>0</v>
      </c>
      <c r="H3337">
        <v>300</v>
      </c>
      <c r="I3337" s="183" t="s">
        <v>9000</v>
      </c>
      <c r="J3337" s="183" t="s">
        <v>12050</v>
      </c>
      <c r="K3337">
        <v>0</v>
      </c>
      <c r="L3337">
        <v>300</v>
      </c>
    </row>
    <row r="3338" spans="1:12">
      <c r="A3338" s="183" t="s">
        <v>9047</v>
      </c>
      <c r="B3338" s="183" t="s">
        <v>8645</v>
      </c>
      <c r="C3338">
        <v>8800358456915</v>
      </c>
      <c r="D3338">
        <v>537</v>
      </c>
      <c r="E3338">
        <v>0</v>
      </c>
      <c r="F3338">
        <v>0</v>
      </c>
      <c r="G3338">
        <v>0</v>
      </c>
      <c r="H3338">
        <v>537</v>
      </c>
      <c r="I3338" s="183" t="s">
        <v>9002</v>
      </c>
      <c r="J3338" s="183" t="s">
        <v>12097</v>
      </c>
      <c r="K3338">
        <v>0</v>
      </c>
      <c r="L3338">
        <v>537</v>
      </c>
    </row>
    <row r="3339" spans="1:12">
      <c r="A3339" s="183" t="s">
        <v>9176</v>
      </c>
      <c r="B3339" s="183" t="s">
        <v>8645</v>
      </c>
      <c r="C3339">
        <v>8800358456991</v>
      </c>
      <c r="D3339">
        <v>443</v>
      </c>
      <c r="E3339">
        <v>0</v>
      </c>
      <c r="F3339">
        <v>0</v>
      </c>
      <c r="G3339">
        <v>0</v>
      </c>
      <c r="H3339">
        <v>443</v>
      </c>
      <c r="I3339" s="183" t="s">
        <v>9002</v>
      </c>
      <c r="J3339" s="183" t="s">
        <v>12055</v>
      </c>
      <c r="K3339">
        <v>0</v>
      </c>
      <c r="L3339">
        <v>443</v>
      </c>
    </row>
    <row r="3340" spans="1:12">
      <c r="A3340" s="183" t="s">
        <v>9177</v>
      </c>
      <c r="B3340" s="183" t="s">
        <v>8645</v>
      </c>
      <c r="C3340">
        <v>8800358457028</v>
      </c>
      <c r="D3340">
        <v>382</v>
      </c>
      <c r="E3340">
        <v>0</v>
      </c>
      <c r="F3340">
        <v>0</v>
      </c>
      <c r="G3340">
        <v>0</v>
      </c>
      <c r="H3340">
        <v>382</v>
      </c>
      <c r="I3340" s="183" t="s">
        <v>9002</v>
      </c>
      <c r="J3340" s="183" t="s">
        <v>12066</v>
      </c>
      <c r="K3340">
        <v>0</v>
      </c>
      <c r="L3340">
        <v>382</v>
      </c>
    </row>
    <row r="3341" spans="1:12">
      <c r="A3341" s="183" t="s">
        <v>9178</v>
      </c>
      <c r="B3341" s="183" t="s">
        <v>8645</v>
      </c>
      <c r="C3341">
        <v>8800358457035</v>
      </c>
      <c r="D3341">
        <v>509</v>
      </c>
      <c r="E3341">
        <v>0</v>
      </c>
      <c r="F3341">
        <v>0</v>
      </c>
      <c r="G3341">
        <v>0</v>
      </c>
      <c r="H3341">
        <v>509</v>
      </c>
      <c r="I3341" s="183" t="s">
        <v>9002</v>
      </c>
      <c r="J3341" s="183" t="s">
        <v>12061</v>
      </c>
      <c r="K3341">
        <v>0</v>
      </c>
      <c r="L3341">
        <v>509</v>
      </c>
    </row>
    <row r="3342" spans="1:12">
      <c r="A3342" s="183" t="s">
        <v>9048</v>
      </c>
      <c r="B3342" s="183" t="s">
        <v>8645</v>
      </c>
      <c r="C3342">
        <v>8800358457066</v>
      </c>
      <c r="D3342">
        <v>380</v>
      </c>
      <c r="E3342">
        <v>0</v>
      </c>
      <c r="F3342">
        <v>0</v>
      </c>
      <c r="G3342">
        <v>0</v>
      </c>
      <c r="H3342">
        <v>380</v>
      </c>
      <c r="I3342" s="183" t="s">
        <v>9002</v>
      </c>
      <c r="J3342" s="183" t="s">
        <v>12087</v>
      </c>
      <c r="K3342">
        <v>0</v>
      </c>
      <c r="L3342">
        <v>380</v>
      </c>
    </row>
    <row r="3343" spans="1:12">
      <c r="A3343" s="183" t="s">
        <v>8841</v>
      </c>
      <c r="B3343" s="183" t="s">
        <v>8648</v>
      </c>
      <c r="C3343">
        <v>8800358457165</v>
      </c>
      <c r="D3343">
        <v>240</v>
      </c>
      <c r="E3343">
        <v>0</v>
      </c>
      <c r="F3343">
        <v>0</v>
      </c>
      <c r="G3343">
        <v>0</v>
      </c>
      <c r="H3343">
        <v>240</v>
      </c>
      <c r="I3343" s="183" t="s">
        <v>8824</v>
      </c>
      <c r="J3343" s="183" t="s">
        <v>12050</v>
      </c>
      <c r="K3343">
        <v>0</v>
      </c>
      <c r="L3343">
        <v>240</v>
      </c>
    </row>
    <row r="3344" spans="1:12">
      <c r="A3344" s="183" t="s">
        <v>8842</v>
      </c>
      <c r="B3344" s="183" t="s">
        <v>8648</v>
      </c>
      <c r="C3344">
        <v>8800358457219</v>
      </c>
      <c r="D3344">
        <v>284</v>
      </c>
      <c r="E3344">
        <v>0</v>
      </c>
      <c r="F3344">
        <v>0</v>
      </c>
      <c r="G3344">
        <v>0</v>
      </c>
      <c r="H3344">
        <v>284</v>
      </c>
      <c r="I3344" s="183" t="s">
        <v>8824</v>
      </c>
      <c r="J3344" s="183" t="s">
        <v>12048</v>
      </c>
      <c r="K3344">
        <v>0</v>
      </c>
      <c r="L3344">
        <v>284</v>
      </c>
    </row>
    <row r="3345" spans="1:12">
      <c r="A3345" s="183" t="s">
        <v>8843</v>
      </c>
      <c r="B3345" s="183" t="s">
        <v>8648</v>
      </c>
      <c r="C3345">
        <v>8800358457356</v>
      </c>
      <c r="D3345">
        <v>166</v>
      </c>
      <c r="E3345">
        <v>0</v>
      </c>
      <c r="F3345">
        <v>0</v>
      </c>
      <c r="G3345">
        <v>0</v>
      </c>
      <c r="H3345">
        <v>166</v>
      </c>
      <c r="I3345" s="183" t="s">
        <v>8824</v>
      </c>
      <c r="J3345" s="183" t="s">
        <v>12063</v>
      </c>
      <c r="K3345">
        <v>0</v>
      </c>
      <c r="L3345">
        <v>166</v>
      </c>
    </row>
    <row r="3346" spans="1:12">
      <c r="A3346" s="183" t="s">
        <v>8660</v>
      </c>
      <c r="B3346" s="183" t="s">
        <v>8648</v>
      </c>
      <c r="C3346">
        <v>8800358457394</v>
      </c>
      <c r="D3346">
        <v>301</v>
      </c>
      <c r="E3346">
        <v>0</v>
      </c>
      <c r="F3346">
        <v>0</v>
      </c>
      <c r="G3346">
        <v>0</v>
      </c>
      <c r="H3346">
        <v>301</v>
      </c>
      <c r="I3346" s="183" t="s">
        <v>8649</v>
      </c>
      <c r="J3346" s="183" t="s">
        <v>12066</v>
      </c>
      <c r="K3346">
        <v>0</v>
      </c>
      <c r="L3346">
        <v>301</v>
      </c>
    </row>
    <row r="3347" spans="1:12">
      <c r="A3347" s="183" t="s">
        <v>8680</v>
      </c>
      <c r="B3347" s="183" t="s">
        <v>8648</v>
      </c>
      <c r="C3347">
        <v>8800358457448</v>
      </c>
      <c r="D3347">
        <v>271</v>
      </c>
      <c r="E3347">
        <v>0</v>
      </c>
      <c r="F3347">
        <v>0</v>
      </c>
      <c r="G3347">
        <v>0</v>
      </c>
      <c r="H3347">
        <v>271</v>
      </c>
      <c r="I3347" s="183" t="s">
        <v>8649</v>
      </c>
      <c r="J3347" s="183" t="s">
        <v>12050</v>
      </c>
      <c r="K3347">
        <v>0</v>
      </c>
      <c r="L3347">
        <v>271</v>
      </c>
    </row>
    <row r="3348" spans="1:12">
      <c r="A3348" s="183" t="s">
        <v>8681</v>
      </c>
      <c r="B3348" s="183" t="s">
        <v>8648</v>
      </c>
      <c r="C3348">
        <v>8800358457462</v>
      </c>
      <c r="D3348">
        <v>303</v>
      </c>
      <c r="E3348">
        <v>0</v>
      </c>
      <c r="F3348">
        <v>0</v>
      </c>
      <c r="G3348">
        <v>0</v>
      </c>
      <c r="H3348">
        <v>303</v>
      </c>
      <c r="I3348" s="183" t="s">
        <v>8649</v>
      </c>
      <c r="J3348" s="183" t="s">
        <v>12055</v>
      </c>
      <c r="K3348">
        <v>0</v>
      </c>
      <c r="L3348">
        <v>303</v>
      </c>
    </row>
    <row r="3349" spans="1:12">
      <c r="A3349" s="183" t="s">
        <v>8661</v>
      </c>
      <c r="B3349" s="183" t="s">
        <v>8648</v>
      </c>
      <c r="C3349">
        <v>8800358457486</v>
      </c>
      <c r="D3349">
        <v>270</v>
      </c>
      <c r="E3349">
        <v>0</v>
      </c>
      <c r="F3349">
        <v>0</v>
      </c>
      <c r="G3349">
        <v>0</v>
      </c>
      <c r="H3349">
        <v>270</v>
      </c>
      <c r="I3349" s="183" t="s">
        <v>8649</v>
      </c>
      <c r="J3349" s="183" t="s">
        <v>12063</v>
      </c>
      <c r="K3349">
        <v>0</v>
      </c>
      <c r="L3349">
        <v>270</v>
      </c>
    </row>
    <row r="3350" spans="1:12">
      <c r="A3350" s="183" t="s">
        <v>9049</v>
      </c>
      <c r="B3350" s="183" t="s">
        <v>9004</v>
      </c>
      <c r="C3350">
        <v>8800358459077</v>
      </c>
      <c r="D3350">
        <v>130</v>
      </c>
      <c r="E3350">
        <v>0</v>
      </c>
      <c r="F3350">
        <v>0</v>
      </c>
      <c r="G3350">
        <v>0</v>
      </c>
      <c r="H3350">
        <v>130</v>
      </c>
      <c r="I3350" s="183" t="s">
        <v>9005</v>
      </c>
      <c r="J3350" s="183" t="s">
        <v>12055</v>
      </c>
      <c r="K3350">
        <v>0</v>
      </c>
      <c r="L3350">
        <v>130</v>
      </c>
    </row>
    <row r="3351" spans="1:12">
      <c r="A3351" s="183" t="s">
        <v>9050</v>
      </c>
      <c r="B3351" s="183" t="s">
        <v>9004</v>
      </c>
      <c r="C3351">
        <v>8800358459152</v>
      </c>
      <c r="D3351">
        <v>130</v>
      </c>
      <c r="E3351">
        <v>0</v>
      </c>
      <c r="F3351">
        <v>0</v>
      </c>
      <c r="G3351">
        <v>0</v>
      </c>
      <c r="H3351">
        <v>130</v>
      </c>
      <c r="I3351" s="183" t="s">
        <v>9005</v>
      </c>
      <c r="J3351" s="183" t="s">
        <v>12066</v>
      </c>
      <c r="K3351">
        <v>0</v>
      </c>
      <c r="L3351">
        <v>130</v>
      </c>
    </row>
    <row r="3352" spans="1:12">
      <c r="A3352" s="183" t="s">
        <v>9051</v>
      </c>
      <c r="B3352" s="183" t="s">
        <v>9004</v>
      </c>
      <c r="C3352">
        <v>8800358459213</v>
      </c>
      <c r="D3352">
        <v>130</v>
      </c>
      <c r="E3352">
        <v>0</v>
      </c>
      <c r="F3352">
        <v>0</v>
      </c>
      <c r="G3352">
        <v>0</v>
      </c>
      <c r="H3352">
        <v>130</v>
      </c>
      <c r="I3352" s="183" t="s">
        <v>9005</v>
      </c>
      <c r="J3352" s="183" t="s">
        <v>12066</v>
      </c>
      <c r="K3352">
        <v>0</v>
      </c>
      <c r="L3352">
        <v>130</v>
      </c>
    </row>
    <row r="3353" spans="1:12">
      <c r="A3353" s="183" t="s">
        <v>5897</v>
      </c>
      <c r="B3353" s="183" t="s">
        <v>5893</v>
      </c>
      <c r="C3353">
        <v>8800322956632</v>
      </c>
      <c r="D3353">
        <v>141</v>
      </c>
      <c r="E3353">
        <v>0</v>
      </c>
      <c r="F3353">
        <v>0</v>
      </c>
      <c r="G3353">
        <v>0</v>
      </c>
      <c r="H3353">
        <v>141</v>
      </c>
      <c r="I3353" s="183" t="s">
        <v>5896</v>
      </c>
      <c r="J3353" s="183" t="s">
        <v>12055</v>
      </c>
      <c r="K3353">
        <v>0</v>
      </c>
      <c r="L3353">
        <v>141</v>
      </c>
    </row>
    <row r="3354" spans="1:12">
      <c r="A3354" s="183" t="s">
        <v>5898</v>
      </c>
      <c r="B3354" s="183" t="s">
        <v>5894</v>
      </c>
      <c r="C3354">
        <v>8800322956779</v>
      </c>
      <c r="D3354">
        <v>112</v>
      </c>
      <c r="E3354">
        <v>0</v>
      </c>
      <c r="F3354">
        <v>0</v>
      </c>
      <c r="G3354">
        <v>0</v>
      </c>
      <c r="H3354">
        <v>112</v>
      </c>
      <c r="I3354" s="183" t="s">
        <v>5899</v>
      </c>
      <c r="J3354" s="183" t="s">
        <v>12095</v>
      </c>
      <c r="K3354">
        <v>0</v>
      </c>
      <c r="L3354">
        <v>112</v>
      </c>
    </row>
    <row r="3355" spans="1:12">
      <c r="A3355" s="183" t="s">
        <v>5900</v>
      </c>
      <c r="B3355" s="183" t="s">
        <v>5894</v>
      </c>
      <c r="C3355">
        <v>8800322956809</v>
      </c>
      <c r="D3355">
        <v>123</v>
      </c>
      <c r="E3355">
        <v>0</v>
      </c>
      <c r="F3355">
        <v>0</v>
      </c>
      <c r="G3355">
        <v>0</v>
      </c>
      <c r="H3355">
        <v>123</v>
      </c>
      <c r="I3355" s="183" t="s">
        <v>5899</v>
      </c>
      <c r="J3355" s="183" t="s">
        <v>12055</v>
      </c>
      <c r="K3355">
        <v>0</v>
      </c>
      <c r="L3355">
        <v>123</v>
      </c>
    </row>
    <row r="3356" spans="1:12">
      <c r="A3356" s="183" t="s">
        <v>5901</v>
      </c>
      <c r="B3356" s="183" t="s">
        <v>5894</v>
      </c>
      <c r="C3356">
        <v>8800322956847</v>
      </c>
      <c r="D3356">
        <v>169</v>
      </c>
      <c r="E3356">
        <v>0</v>
      </c>
      <c r="F3356">
        <v>0</v>
      </c>
      <c r="G3356">
        <v>0</v>
      </c>
      <c r="H3356">
        <v>169</v>
      </c>
      <c r="I3356" s="183" t="s">
        <v>5899</v>
      </c>
      <c r="J3356" s="183" t="s">
        <v>12055</v>
      </c>
      <c r="K3356">
        <v>0</v>
      </c>
      <c r="L3356">
        <v>169</v>
      </c>
    </row>
    <row r="3357" spans="1:12">
      <c r="A3357" s="183" t="s">
        <v>5902</v>
      </c>
      <c r="B3357" s="183" t="s">
        <v>5894</v>
      </c>
      <c r="C3357">
        <v>8800322956960</v>
      </c>
      <c r="D3357">
        <v>147</v>
      </c>
      <c r="E3357">
        <v>0</v>
      </c>
      <c r="F3357">
        <v>0</v>
      </c>
      <c r="G3357">
        <v>0</v>
      </c>
      <c r="H3357">
        <v>147</v>
      </c>
      <c r="I3357" s="183" t="s">
        <v>5899</v>
      </c>
      <c r="J3357" s="183" t="s">
        <v>12052</v>
      </c>
      <c r="K3357">
        <v>0</v>
      </c>
      <c r="L3357">
        <v>147</v>
      </c>
    </row>
    <row r="3358" spans="1:12">
      <c r="A3358" s="183" t="s">
        <v>5958</v>
      </c>
      <c r="B3358" s="183" t="s">
        <v>5894</v>
      </c>
      <c r="C3358">
        <v>8800322957011</v>
      </c>
      <c r="D3358">
        <v>149</v>
      </c>
      <c r="E3358">
        <v>0</v>
      </c>
      <c r="F3358">
        <v>0</v>
      </c>
      <c r="G3358">
        <v>0</v>
      </c>
      <c r="H3358">
        <v>149</v>
      </c>
      <c r="I3358" s="183" t="s">
        <v>5899</v>
      </c>
      <c r="J3358" s="183" t="s">
        <v>12095</v>
      </c>
      <c r="K3358">
        <v>0</v>
      </c>
      <c r="L3358">
        <v>149</v>
      </c>
    </row>
    <row r="3359" spans="1:12">
      <c r="A3359" s="183" t="s">
        <v>5988</v>
      </c>
      <c r="B3359" s="183" t="s">
        <v>5984</v>
      </c>
      <c r="C3359">
        <v>8800322957073</v>
      </c>
      <c r="D3359">
        <v>135</v>
      </c>
      <c r="E3359">
        <v>0</v>
      </c>
      <c r="F3359">
        <v>0</v>
      </c>
      <c r="G3359">
        <v>0</v>
      </c>
      <c r="H3359">
        <v>135</v>
      </c>
      <c r="I3359" s="183" t="s">
        <v>5985</v>
      </c>
      <c r="J3359" s="183" t="s">
        <v>12066</v>
      </c>
      <c r="K3359">
        <v>0</v>
      </c>
      <c r="L3359">
        <v>135</v>
      </c>
    </row>
    <row r="3360" spans="1:12">
      <c r="A3360" s="183" t="s">
        <v>6023</v>
      </c>
      <c r="B3360" s="183" t="s">
        <v>5984</v>
      </c>
      <c r="C3360">
        <v>8800322957080</v>
      </c>
      <c r="D3360">
        <v>132</v>
      </c>
      <c r="E3360">
        <v>0</v>
      </c>
      <c r="F3360">
        <v>0</v>
      </c>
      <c r="G3360">
        <v>0</v>
      </c>
      <c r="H3360">
        <v>132</v>
      </c>
      <c r="I3360" s="183" t="s">
        <v>5985</v>
      </c>
      <c r="J3360" s="183" t="s">
        <v>12063</v>
      </c>
      <c r="K3360">
        <v>0</v>
      </c>
      <c r="L3360">
        <v>132</v>
      </c>
    </row>
    <row r="3361" spans="1:12">
      <c r="A3361" s="183" t="s">
        <v>6024</v>
      </c>
      <c r="B3361" s="183" t="s">
        <v>5984</v>
      </c>
      <c r="C3361">
        <v>8800322957127</v>
      </c>
      <c r="D3361">
        <v>140</v>
      </c>
      <c r="E3361">
        <v>0</v>
      </c>
      <c r="F3361">
        <v>0</v>
      </c>
      <c r="G3361">
        <v>0</v>
      </c>
      <c r="H3361">
        <v>140</v>
      </c>
      <c r="I3361" s="183" t="s">
        <v>5985</v>
      </c>
      <c r="J3361" s="183" t="s">
        <v>12052</v>
      </c>
      <c r="K3361">
        <v>0</v>
      </c>
      <c r="L3361">
        <v>140</v>
      </c>
    </row>
    <row r="3362" spans="1:12">
      <c r="A3362" s="183" t="s">
        <v>6025</v>
      </c>
      <c r="B3362" s="183" t="s">
        <v>5984</v>
      </c>
      <c r="C3362">
        <v>8800322957233</v>
      </c>
      <c r="D3362">
        <v>57</v>
      </c>
      <c r="E3362">
        <v>0</v>
      </c>
      <c r="F3362">
        <v>0</v>
      </c>
      <c r="G3362">
        <v>0</v>
      </c>
      <c r="H3362">
        <v>57</v>
      </c>
      <c r="I3362" s="183" t="s">
        <v>5985</v>
      </c>
      <c r="J3362" s="183" t="s">
        <v>12061</v>
      </c>
      <c r="K3362">
        <v>0</v>
      </c>
      <c r="L3362">
        <v>57</v>
      </c>
    </row>
    <row r="3363" spans="1:12">
      <c r="A3363" s="183" t="s">
        <v>6026</v>
      </c>
      <c r="B3363" s="183" t="s">
        <v>5984</v>
      </c>
      <c r="C3363">
        <v>8800322957240</v>
      </c>
      <c r="D3363">
        <v>61</v>
      </c>
      <c r="E3363">
        <v>0</v>
      </c>
      <c r="F3363">
        <v>0</v>
      </c>
      <c r="G3363">
        <v>0</v>
      </c>
      <c r="H3363">
        <v>61</v>
      </c>
      <c r="I3363" s="183" t="s">
        <v>5985</v>
      </c>
      <c r="J3363" s="183" t="s">
        <v>12066</v>
      </c>
      <c r="K3363">
        <v>0</v>
      </c>
      <c r="L3363">
        <v>61</v>
      </c>
    </row>
    <row r="3364" spans="1:12">
      <c r="A3364" s="183" t="s">
        <v>6027</v>
      </c>
      <c r="B3364" s="183" t="s">
        <v>5984</v>
      </c>
      <c r="C3364">
        <v>8800322957257</v>
      </c>
      <c r="D3364">
        <v>66</v>
      </c>
      <c r="E3364">
        <v>0</v>
      </c>
      <c r="F3364">
        <v>0</v>
      </c>
      <c r="G3364">
        <v>0</v>
      </c>
      <c r="H3364">
        <v>66</v>
      </c>
      <c r="I3364" s="183" t="s">
        <v>5985</v>
      </c>
      <c r="J3364" s="183" t="s">
        <v>12050</v>
      </c>
      <c r="K3364">
        <v>0</v>
      </c>
      <c r="L3364">
        <v>66</v>
      </c>
    </row>
    <row r="3365" spans="1:12">
      <c r="A3365" s="183" t="s">
        <v>6028</v>
      </c>
      <c r="B3365" s="183" t="s">
        <v>5984</v>
      </c>
      <c r="C3365">
        <v>8800322957288</v>
      </c>
      <c r="D3365">
        <v>68</v>
      </c>
      <c r="E3365">
        <v>0</v>
      </c>
      <c r="F3365">
        <v>0</v>
      </c>
      <c r="G3365">
        <v>0</v>
      </c>
      <c r="H3365">
        <v>68</v>
      </c>
      <c r="I3365" s="183" t="s">
        <v>5985</v>
      </c>
      <c r="J3365" s="183" t="s">
        <v>12063</v>
      </c>
      <c r="K3365">
        <v>0</v>
      </c>
      <c r="L3365">
        <v>68</v>
      </c>
    </row>
    <row r="3366" spans="1:12">
      <c r="A3366" s="183" t="s">
        <v>5989</v>
      </c>
      <c r="B3366" s="183" t="s">
        <v>5914</v>
      </c>
      <c r="C3366">
        <v>8800322957530</v>
      </c>
      <c r="D3366">
        <v>123</v>
      </c>
      <c r="E3366">
        <v>0</v>
      </c>
      <c r="F3366">
        <v>0</v>
      </c>
      <c r="G3366">
        <v>0</v>
      </c>
      <c r="H3366">
        <v>123</v>
      </c>
      <c r="I3366" s="183" t="s">
        <v>5915</v>
      </c>
      <c r="J3366" s="183" t="s">
        <v>12050</v>
      </c>
      <c r="K3366">
        <v>0</v>
      </c>
      <c r="L3366">
        <v>123</v>
      </c>
    </row>
    <row r="3367" spans="1:12">
      <c r="A3367" s="183" t="s">
        <v>6029</v>
      </c>
      <c r="B3367" s="183" t="s">
        <v>5995</v>
      </c>
      <c r="C3367">
        <v>8800322957592</v>
      </c>
      <c r="D3367">
        <v>108</v>
      </c>
      <c r="E3367">
        <v>0</v>
      </c>
      <c r="F3367">
        <v>0</v>
      </c>
      <c r="G3367">
        <v>0</v>
      </c>
      <c r="H3367">
        <v>108</v>
      </c>
      <c r="I3367" s="183" t="s">
        <v>5999</v>
      </c>
      <c r="J3367" s="183" t="s">
        <v>12095</v>
      </c>
      <c r="K3367">
        <v>0</v>
      </c>
      <c r="L3367">
        <v>108</v>
      </c>
    </row>
    <row r="3368" spans="1:12">
      <c r="A3368" s="183" t="s">
        <v>6030</v>
      </c>
      <c r="B3368" s="183" t="s">
        <v>5995</v>
      </c>
      <c r="C3368">
        <v>8800322957684</v>
      </c>
      <c r="D3368">
        <v>160</v>
      </c>
      <c r="E3368">
        <v>0</v>
      </c>
      <c r="F3368">
        <v>0</v>
      </c>
      <c r="G3368">
        <v>0</v>
      </c>
      <c r="H3368">
        <v>160</v>
      </c>
      <c r="I3368" s="183" t="s">
        <v>5999</v>
      </c>
      <c r="J3368" s="183" t="s">
        <v>12048</v>
      </c>
      <c r="K3368">
        <v>0</v>
      </c>
      <c r="L3368">
        <v>160</v>
      </c>
    </row>
    <row r="3369" spans="1:12">
      <c r="A3369" s="183" t="s">
        <v>6031</v>
      </c>
      <c r="B3369" s="183" t="s">
        <v>5995</v>
      </c>
      <c r="C3369">
        <v>8800322957745</v>
      </c>
      <c r="D3369">
        <v>154</v>
      </c>
      <c r="E3369">
        <v>0</v>
      </c>
      <c r="F3369">
        <v>0</v>
      </c>
      <c r="G3369">
        <v>0</v>
      </c>
      <c r="H3369">
        <v>154</v>
      </c>
      <c r="I3369" s="183" t="s">
        <v>5999</v>
      </c>
      <c r="J3369" s="183" t="s">
        <v>12050</v>
      </c>
      <c r="K3369">
        <v>0</v>
      </c>
      <c r="L3369">
        <v>154</v>
      </c>
    </row>
    <row r="3370" spans="1:12">
      <c r="A3370" s="183" t="s">
        <v>6032</v>
      </c>
      <c r="B3370" s="183" t="s">
        <v>5995</v>
      </c>
      <c r="C3370">
        <v>8800322957752</v>
      </c>
      <c r="D3370">
        <v>144</v>
      </c>
      <c r="E3370">
        <v>0</v>
      </c>
      <c r="F3370">
        <v>0</v>
      </c>
      <c r="G3370">
        <v>0</v>
      </c>
      <c r="H3370">
        <v>144</v>
      </c>
      <c r="I3370" s="183" t="s">
        <v>5999</v>
      </c>
      <c r="J3370" s="183" t="s">
        <v>12056</v>
      </c>
      <c r="K3370">
        <v>0</v>
      </c>
      <c r="L3370">
        <v>144</v>
      </c>
    </row>
    <row r="3371" spans="1:12">
      <c r="A3371" s="183" t="s">
        <v>9091</v>
      </c>
      <c r="B3371" s="183" t="s">
        <v>8644</v>
      </c>
      <c r="C3371">
        <v>8800358456472</v>
      </c>
      <c r="D3371">
        <v>340</v>
      </c>
      <c r="E3371">
        <v>0</v>
      </c>
      <c r="F3371">
        <v>0</v>
      </c>
      <c r="G3371">
        <v>0</v>
      </c>
      <c r="H3371">
        <v>340</v>
      </c>
      <c r="I3371" s="183" t="s">
        <v>8996</v>
      </c>
      <c r="J3371" s="183" t="s">
        <v>12087</v>
      </c>
      <c r="K3371">
        <v>0</v>
      </c>
      <c r="L3371">
        <v>340</v>
      </c>
    </row>
    <row r="3372" spans="1:12">
      <c r="A3372" s="183" t="s">
        <v>579</v>
      </c>
      <c r="B3372" s="183" t="s">
        <v>1001</v>
      </c>
      <c r="C3372">
        <v>33050208</v>
      </c>
      <c r="D3372">
        <v>101</v>
      </c>
      <c r="E3372">
        <v>0</v>
      </c>
      <c r="F3372">
        <v>14</v>
      </c>
      <c r="G3372">
        <v>0</v>
      </c>
      <c r="H3372">
        <v>115</v>
      </c>
      <c r="I3372" s="183" t="s">
        <v>1002</v>
      </c>
      <c r="J3372" s="183" t="s">
        <v>12093</v>
      </c>
      <c r="K3372">
        <v>0</v>
      </c>
      <c r="L3372">
        <v>101</v>
      </c>
    </row>
    <row r="3373" spans="1:12">
      <c r="A3373" s="183" t="s">
        <v>580</v>
      </c>
      <c r="B3373" s="183" t="s">
        <v>1001</v>
      </c>
      <c r="C3373">
        <v>33050210</v>
      </c>
      <c r="D3373">
        <v>22</v>
      </c>
      <c r="E3373">
        <v>0</v>
      </c>
      <c r="F3373">
        <v>27</v>
      </c>
      <c r="G3373">
        <v>0</v>
      </c>
      <c r="H3373">
        <v>49</v>
      </c>
      <c r="I3373" s="183" t="s">
        <v>1002</v>
      </c>
      <c r="J3373" s="183" t="s">
        <v>12085</v>
      </c>
      <c r="K3373">
        <v>0</v>
      </c>
      <c r="L3373">
        <v>22</v>
      </c>
    </row>
    <row r="3374" spans="1:12">
      <c r="A3374" s="183" t="s">
        <v>3766</v>
      </c>
      <c r="B3374" s="183" t="s">
        <v>1001</v>
      </c>
      <c r="C3374">
        <v>33050215</v>
      </c>
      <c r="D3374">
        <v>92</v>
      </c>
      <c r="E3374">
        <v>0</v>
      </c>
      <c r="F3374">
        <v>81</v>
      </c>
      <c r="G3374">
        <v>0</v>
      </c>
      <c r="H3374">
        <v>173</v>
      </c>
      <c r="I3374" s="183" t="s">
        <v>1002</v>
      </c>
      <c r="J3374" s="183" t="s">
        <v>12059</v>
      </c>
      <c r="K3374">
        <v>0</v>
      </c>
      <c r="L3374">
        <v>92</v>
      </c>
    </row>
    <row r="3375" spans="1:12">
      <c r="A3375" s="183" t="s">
        <v>583</v>
      </c>
      <c r="B3375" s="183" t="s">
        <v>1001</v>
      </c>
      <c r="C3375">
        <v>33050217</v>
      </c>
      <c r="D3375">
        <v>26</v>
      </c>
      <c r="E3375">
        <v>0</v>
      </c>
      <c r="F3375">
        <v>1</v>
      </c>
      <c r="G3375">
        <v>0</v>
      </c>
      <c r="H3375">
        <v>27</v>
      </c>
      <c r="I3375" s="183" t="s">
        <v>1002</v>
      </c>
      <c r="J3375" s="183" t="s">
        <v>12091</v>
      </c>
      <c r="K3375">
        <v>0</v>
      </c>
      <c r="L3375">
        <v>26</v>
      </c>
    </row>
    <row r="3376" spans="1:12">
      <c r="A3376" s="183" t="s">
        <v>585</v>
      </c>
      <c r="B3376" s="183" t="s">
        <v>1001</v>
      </c>
      <c r="C3376">
        <v>33050220</v>
      </c>
      <c r="D3376">
        <v>65</v>
      </c>
      <c r="E3376">
        <v>0</v>
      </c>
      <c r="F3376">
        <v>19</v>
      </c>
      <c r="G3376">
        <v>0</v>
      </c>
      <c r="H3376">
        <v>84</v>
      </c>
      <c r="I3376" s="183" t="s">
        <v>1002</v>
      </c>
      <c r="J3376" s="183" t="s">
        <v>12050</v>
      </c>
      <c r="K3376">
        <v>0</v>
      </c>
      <c r="L3376">
        <v>65</v>
      </c>
    </row>
    <row r="3377" spans="1:12">
      <c r="A3377" s="183" t="s">
        <v>594</v>
      </c>
      <c r="B3377" s="183" t="s">
        <v>1001</v>
      </c>
      <c r="C3377">
        <v>33050236</v>
      </c>
      <c r="D3377">
        <v>0</v>
      </c>
      <c r="E3377">
        <v>0</v>
      </c>
      <c r="F3377">
        <v>16</v>
      </c>
      <c r="G3377">
        <v>0</v>
      </c>
      <c r="H3377">
        <v>16</v>
      </c>
      <c r="I3377" s="183" t="s">
        <v>1002</v>
      </c>
      <c r="J3377" s="183" t="s">
        <v>12056</v>
      </c>
      <c r="K3377">
        <v>0</v>
      </c>
      <c r="L3377">
        <v>0</v>
      </c>
    </row>
    <row r="3378" spans="1:12">
      <c r="A3378" s="183" t="s">
        <v>3691</v>
      </c>
      <c r="B3378" s="183" t="s">
        <v>979</v>
      </c>
      <c r="C3378">
        <v>35010204</v>
      </c>
      <c r="D3378">
        <v>146</v>
      </c>
      <c r="E3378">
        <v>0</v>
      </c>
      <c r="F3378">
        <v>2</v>
      </c>
      <c r="G3378">
        <v>0</v>
      </c>
      <c r="H3378">
        <v>148</v>
      </c>
      <c r="I3378" s="183" t="s">
        <v>980</v>
      </c>
      <c r="J3378" s="183" t="s">
        <v>12060</v>
      </c>
      <c r="K3378">
        <v>0</v>
      </c>
      <c r="L3378">
        <v>146</v>
      </c>
    </row>
    <row r="3379" spans="1:12">
      <c r="A3379" s="183" t="s">
        <v>599</v>
      </c>
      <c r="B3379" s="183" t="s">
        <v>979</v>
      </c>
      <c r="C3379">
        <v>35010209</v>
      </c>
      <c r="D3379">
        <v>35</v>
      </c>
      <c r="E3379">
        <v>0</v>
      </c>
      <c r="F3379">
        <v>15</v>
      </c>
      <c r="G3379">
        <v>0</v>
      </c>
      <c r="H3379">
        <v>50</v>
      </c>
      <c r="I3379" s="183" t="s">
        <v>980</v>
      </c>
      <c r="J3379" s="183" t="s">
        <v>12054</v>
      </c>
      <c r="K3379">
        <v>0</v>
      </c>
      <c r="L3379">
        <v>35</v>
      </c>
    </row>
    <row r="3380" spans="1:12">
      <c r="A3380" s="183" t="s">
        <v>600</v>
      </c>
      <c r="B3380" s="183" t="s">
        <v>979</v>
      </c>
      <c r="C3380">
        <v>35010220</v>
      </c>
      <c r="D3380">
        <v>134</v>
      </c>
      <c r="E3380">
        <v>0</v>
      </c>
      <c r="F3380">
        <v>0</v>
      </c>
      <c r="G3380">
        <v>0</v>
      </c>
      <c r="H3380">
        <v>134</v>
      </c>
      <c r="I3380" s="183" t="s">
        <v>980</v>
      </c>
      <c r="J3380" s="183" t="s">
        <v>12061</v>
      </c>
      <c r="K3380">
        <v>0</v>
      </c>
      <c r="L3380">
        <v>134</v>
      </c>
    </row>
    <row r="3381" spans="1:12">
      <c r="A3381" s="183" t="s">
        <v>605</v>
      </c>
      <c r="B3381" s="183" t="s">
        <v>979</v>
      </c>
      <c r="C3381">
        <v>35010228</v>
      </c>
      <c r="D3381">
        <v>32</v>
      </c>
      <c r="E3381">
        <v>0</v>
      </c>
      <c r="F3381">
        <v>48</v>
      </c>
      <c r="G3381">
        <v>0</v>
      </c>
      <c r="H3381">
        <v>80</v>
      </c>
      <c r="I3381" s="183" t="s">
        <v>980</v>
      </c>
      <c r="J3381" s="183" t="s">
        <v>12053</v>
      </c>
      <c r="K3381">
        <v>0</v>
      </c>
      <c r="L3381">
        <v>32</v>
      </c>
    </row>
    <row r="3382" spans="1:12">
      <c r="A3382" s="183" t="s">
        <v>614</v>
      </c>
      <c r="B3382" s="183" t="s">
        <v>1008</v>
      </c>
      <c r="C3382">
        <v>35020205</v>
      </c>
      <c r="D3382">
        <v>54</v>
      </c>
      <c r="E3382">
        <v>0</v>
      </c>
      <c r="F3382">
        <v>2</v>
      </c>
      <c r="G3382">
        <v>0</v>
      </c>
      <c r="H3382">
        <v>56</v>
      </c>
      <c r="I3382" s="183" t="s">
        <v>1009</v>
      </c>
      <c r="J3382" s="183" t="s">
        <v>12048</v>
      </c>
      <c r="K3382">
        <v>0</v>
      </c>
      <c r="L3382">
        <v>54</v>
      </c>
    </row>
    <row r="3383" spans="1:12">
      <c r="A3383" s="183" t="s">
        <v>615</v>
      </c>
      <c r="B3383" s="183" t="s">
        <v>1008</v>
      </c>
      <c r="C3383">
        <v>35020206</v>
      </c>
      <c r="D3383">
        <v>68</v>
      </c>
      <c r="E3383">
        <v>0</v>
      </c>
      <c r="F3383">
        <v>4</v>
      </c>
      <c r="G3383">
        <v>0</v>
      </c>
      <c r="H3383">
        <v>72</v>
      </c>
      <c r="I3383" s="183" t="s">
        <v>1009</v>
      </c>
      <c r="J3383" s="183" t="s">
        <v>12058</v>
      </c>
      <c r="K3383">
        <v>0</v>
      </c>
      <c r="L3383">
        <v>68</v>
      </c>
    </row>
    <row r="3384" spans="1:12">
      <c r="A3384" s="183" t="s">
        <v>619</v>
      </c>
      <c r="B3384" s="183" t="s">
        <v>1008</v>
      </c>
      <c r="C3384">
        <v>35020210</v>
      </c>
      <c r="D3384">
        <v>51</v>
      </c>
      <c r="E3384">
        <v>0</v>
      </c>
      <c r="F3384">
        <v>15</v>
      </c>
      <c r="G3384">
        <v>0</v>
      </c>
      <c r="H3384">
        <v>66</v>
      </c>
      <c r="I3384" s="183" t="s">
        <v>1009</v>
      </c>
      <c r="J3384" s="183" t="s">
        <v>12050</v>
      </c>
      <c r="K3384">
        <v>0</v>
      </c>
      <c r="L3384">
        <v>51</v>
      </c>
    </row>
    <row r="3385" spans="1:12">
      <c r="A3385" s="183" t="s">
        <v>624</v>
      </c>
      <c r="B3385" s="183" t="s">
        <v>1008</v>
      </c>
      <c r="C3385">
        <v>35020221</v>
      </c>
      <c r="D3385">
        <v>55</v>
      </c>
      <c r="E3385">
        <v>0</v>
      </c>
      <c r="F3385">
        <v>34</v>
      </c>
      <c r="G3385">
        <v>0</v>
      </c>
      <c r="H3385">
        <v>89</v>
      </c>
      <c r="I3385" s="183" t="s">
        <v>1009</v>
      </c>
      <c r="J3385" s="183" t="s">
        <v>12067</v>
      </c>
      <c r="K3385">
        <v>0</v>
      </c>
      <c r="L3385">
        <v>55</v>
      </c>
    </row>
    <row r="3386" spans="1:12">
      <c r="A3386" s="183" t="s">
        <v>627</v>
      </c>
      <c r="B3386" s="183" t="s">
        <v>1008</v>
      </c>
      <c r="C3386">
        <v>35020224</v>
      </c>
      <c r="D3386">
        <v>106</v>
      </c>
      <c r="E3386">
        <v>0</v>
      </c>
      <c r="F3386">
        <v>0</v>
      </c>
      <c r="G3386">
        <v>0</v>
      </c>
      <c r="H3386">
        <v>106</v>
      </c>
      <c r="I3386" s="183" t="s">
        <v>1009</v>
      </c>
      <c r="J3386" s="183" t="s">
        <v>12091</v>
      </c>
      <c r="K3386">
        <v>0</v>
      </c>
      <c r="L3386">
        <v>106</v>
      </c>
    </row>
    <row r="3387" spans="1:12">
      <c r="A3387" s="183" t="s">
        <v>631</v>
      </c>
      <c r="B3387" s="183" t="s">
        <v>1008</v>
      </c>
      <c r="C3387">
        <v>35020236</v>
      </c>
      <c r="D3387">
        <v>0</v>
      </c>
      <c r="E3387">
        <v>0</v>
      </c>
      <c r="F3387">
        <v>27</v>
      </c>
      <c r="G3387">
        <v>0</v>
      </c>
      <c r="H3387">
        <v>27</v>
      </c>
      <c r="I3387" s="183" t="s">
        <v>1009</v>
      </c>
      <c r="J3387" s="183" t="s">
        <v>12094</v>
      </c>
      <c r="K3387">
        <v>0</v>
      </c>
      <c r="L3387">
        <v>0</v>
      </c>
    </row>
    <row r="3388" spans="1:12">
      <c r="A3388" s="183" t="s">
        <v>9092</v>
      </c>
      <c r="B3388" s="183" t="s">
        <v>8646</v>
      </c>
      <c r="C3388">
        <v>8800358456694</v>
      </c>
      <c r="D3388">
        <v>320</v>
      </c>
      <c r="E3388">
        <v>0</v>
      </c>
      <c r="F3388">
        <v>0</v>
      </c>
      <c r="G3388">
        <v>0</v>
      </c>
      <c r="H3388">
        <v>320</v>
      </c>
      <c r="I3388" s="183" t="s">
        <v>9000</v>
      </c>
      <c r="J3388" s="183" t="s">
        <v>12066</v>
      </c>
      <c r="K3388">
        <v>0</v>
      </c>
      <c r="L3388">
        <v>320</v>
      </c>
    </row>
    <row r="3389" spans="1:12">
      <c r="A3389" s="183" t="s">
        <v>9093</v>
      </c>
      <c r="B3389" s="183" t="s">
        <v>8646</v>
      </c>
      <c r="C3389">
        <v>8800358456717</v>
      </c>
      <c r="D3389">
        <v>320</v>
      </c>
      <c r="E3389">
        <v>0</v>
      </c>
      <c r="F3389">
        <v>0</v>
      </c>
      <c r="G3389">
        <v>0</v>
      </c>
      <c r="H3389">
        <v>320</v>
      </c>
      <c r="I3389" s="183" t="s">
        <v>9000</v>
      </c>
      <c r="J3389" s="183" t="s">
        <v>12087</v>
      </c>
      <c r="K3389">
        <v>0</v>
      </c>
      <c r="L3389">
        <v>320</v>
      </c>
    </row>
    <row r="3390" spans="1:12">
      <c r="A3390" s="183" t="s">
        <v>9094</v>
      </c>
      <c r="B3390" s="183" t="s">
        <v>8646</v>
      </c>
      <c r="C3390">
        <v>8800358456793</v>
      </c>
      <c r="D3390">
        <v>360</v>
      </c>
      <c r="E3390">
        <v>0</v>
      </c>
      <c r="F3390">
        <v>0</v>
      </c>
      <c r="G3390">
        <v>0</v>
      </c>
      <c r="H3390">
        <v>360</v>
      </c>
      <c r="I3390" s="183" t="s">
        <v>9000</v>
      </c>
      <c r="J3390" s="183" t="s">
        <v>12087</v>
      </c>
      <c r="K3390">
        <v>0</v>
      </c>
      <c r="L3390">
        <v>360</v>
      </c>
    </row>
    <row r="3391" spans="1:12">
      <c r="A3391" s="183" t="s">
        <v>9095</v>
      </c>
      <c r="B3391" s="183" t="s">
        <v>8645</v>
      </c>
      <c r="C3391">
        <v>8800358456939</v>
      </c>
      <c r="D3391">
        <v>481</v>
      </c>
      <c r="E3391">
        <v>0</v>
      </c>
      <c r="F3391">
        <v>0</v>
      </c>
      <c r="G3391">
        <v>0</v>
      </c>
      <c r="H3391">
        <v>481</v>
      </c>
      <c r="I3391" s="183" t="s">
        <v>9002</v>
      </c>
      <c r="J3391" s="183" t="s">
        <v>12063</v>
      </c>
      <c r="K3391">
        <v>0</v>
      </c>
      <c r="L3391">
        <v>481</v>
      </c>
    </row>
    <row r="3392" spans="1:12">
      <c r="A3392" s="183" t="s">
        <v>9172</v>
      </c>
      <c r="B3392" s="183" t="s">
        <v>8645</v>
      </c>
      <c r="C3392">
        <v>8800358457059</v>
      </c>
      <c r="D3392">
        <v>387</v>
      </c>
      <c r="E3392">
        <v>0</v>
      </c>
      <c r="F3392">
        <v>0</v>
      </c>
      <c r="G3392">
        <v>0</v>
      </c>
      <c r="H3392">
        <v>387</v>
      </c>
      <c r="I3392" s="183" t="s">
        <v>9002</v>
      </c>
      <c r="J3392" s="183" t="s">
        <v>12066</v>
      </c>
      <c r="K3392">
        <v>0</v>
      </c>
      <c r="L3392">
        <v>387</v>
      </c>
    </row>
    <row r="3393" spans="1:12">
      <c r="A3393" s="183" t="s">
        <v>8844</v>
      </c>
      <c r="B3393" s="183" t="s">
        <v>8648</v>
      </c>
      <c r="C3393">
        <v>8800358457226</v>
      </c>
      <c r="D3393">
        <v>288</v>
      </c>
      <c r="E3393">
        <v>0</v>
      </c>
      <c r="F3393">
        <v>0</v>
      </c>
      <c r="G3393">
        <v>0</v>
      </c>
      <c r="H3393">
        <v>288</v>
      </c>
      <c r="I3393" s="183" t="s">
        <v>8824</v>
      </c>
      <c r="J3393" s="183" t="s">
        <v>12063</v>
      </c>
      <c r="K3393">
        <v>0</v>
      </c>
      <c r="L3393">
        <v>288</v>
      </c>
    </row>
    <row r="3394" spans="1:12">
      <c r="A3394" s="183" t="s">
        <v>8845</v>
      </c>
      <c r="B3394" s="183" t="s">
        <v>8648</v>
      </c>
      <c r="C3394">
        <v>8800358457233</v>
      </c>
      <c r="D3394">
        <v>260</v>
      </c>
      <c r="E3394">
        <v>0</v>
      </c>
      <c r="F3394">
        <v>0</v>
      </c>
      <c r="G3394">
        <v>0</v>
      </c>
      <c r="H3394">
        <v>260</v>
      </c>
      <c r="I3394" s="183" t="s">
        <v>8824</v>
      </c>
      <c r="J3394" s="183" t="s">
        <v>12050</v>
      </c>
      <c r="K3394">
        <v>0</v>
      </c>
      <c r="L3394">
        <v>260</v>
      </c>
    </row>
    <row r="3395" spans="1:12">
      <c r="A3395" s="183" t="s">
        <v>8846</v>
      </c>
      <c r="B3395" s="183" t="s">
        <v>8648</v>
      </c>
      <c r="C3395">
        <v>8800358457349</v>
      </c>
      <c r="D3395">
        <v>187</v>
      </c>
      <c r="E3395">
        <v>0</v>
      </c>
      <c r="F3395">
        <v>0</v>
      </c>
      <c r="G3395">
        <v>0</v>
      </c>
      <c r="H3395">
        <v>187</v>
      </c>
      <c r="I3395" s="183" t="s">
        <v>8824</v>
      </c>
      <c r="J3395" s="183" t="s">
        <v>12063</v>
      </c>
      <c r="K3395">
        <v>0</v>
      </c>
      <c r="L3395">
        <v>187</v>
      </c>
    </row>
    <row r="3396" spans="1:12">
      <c r="A3396" s="183" t="s">
        <v>8682</v>
      </c>
      <c r="B3396" s="183" t="s">
        <v>8648</v>
      </c>
      <c r="C3396">
        <v>8800358457561</v>
      </c>
      <c r="D3396">
        <v>278</v>
      </c>
      <c r="E3396">
        <v>0</v>
      </c>
      <c r="F3396">
        <v>0</v>
      </c>
      <c r="G3396">
        <v>0</v>
      </c>
      <c r="H3396">
        <v>278</v>
      </c>
      <c r="I3396" s="183" t="s">
        <v>8649</v>
      </c>
      <c r="J3396" s="183" t="s">
        <v>12050</v>
      </c>
      <c r="K3396">
        <v>0</v>
      </c>
      <c r="L3396">
        <v>278</v>
      </c>
    </row>
    <row r="3397" spans="1:12">
      <c r="A3397" s="183" t="s">
        <v>9096</v>
      </c>
      <c r="B3397" s="183" t="s">
        <v>9004</v>
      </c>
      <c r="C3397">
        <v>8800358459183</v>
      </c>
      <c r="D3397">
        <v>130</v>
      </c>
      <c r="E3397">
        <v>0</v>
      </c>
      <c r="F3397">
        <v>0</v>
      </c>
      <c r="G3397">
        <v>0</v>
      </c>
      <c r="H3397">
        <v>130</v>
      </c>
      <c r="I3397" s="183" t="s">
        <v>9005</v>
      </c>
      <c r="J3397" s="183" t="s">
        <v>12087</v>
      </c>
      <c r="K3397">
        <v>0</v>
      </c>
      <c r="L3397">
        <v>130</v>
      </c>
    </row>
    <row r="3398" spans="1:12">
      <c r="A3398" s="183" t="s">
        <v>6038</v>
      </c>
      <c r="B3398" s="183" t="s">
        <v>5984</v>
      </c>
      <c r="C3398">
        <v>8800322957196</v>
      </c>
      <c r="D3398">
        <v>156</v>
      </c>
      <c r="E3398">
        <v>0</v>
      </c>
      <c r="F3398">
        <v>0</v>
      </c>
      <c r="G3398">
        <v>0</v>
      </c>
      <c r="H3398">
        <v>156</v>
      </c>
      <c r="I3398" s="183" t="s">
        <v>5985</v>
      </c>
      <c r="J3398" s="183" t="s">
        <v>12061</v>
      </c>
      <c r="K3398">
        <v>0</v>
      </c>
      <c r="L3398">
        <v>156</v>
      </c>
    </row>
    <row r="3399" spans="1:12">
      <c r="A3399" s="183" t="s">
        <v>5932</v>
      </c>
      <c r="B3399" s="183" t="s">
        <v>5914</v>
      </c>
      <c r="C3399">
        <v>8800322957295</v>
      </c>
      <c r="D3399">
        <v>130</v>
      </c>
      <c r="E3399">
        <v>0</v>
      </c>
      <c r="F3399">
        <v>0</v>
      </c>
      <c r="G3399">
        <v>0</v>
      </c>
      <c r="H3399">
        <v>130</v>
      </c>
      <c r="I3399" s="183" t="s">
        <v>5915</v>
      </c>
      <c r="J3399" s="183" t="s">
        <v>12063</v>
      </c>
      <c r="K3399">
        <v>0</v>
      </c>
      <c r="L3399">
        <v>130</v>
      </c>
    </row>
    <row r="3400" spans="1:12">
      <c r="A3400" s="183" t="s">
        <v>5933</v>
      </c>
      <c r="B3400" s="183" t="s">
        <v>5914</v>
      </c>
      <c r="C3400">
        <v>8800322957356</v>
      </c>
      <c r="D3400">
        <v>156</v>
      </c>
      <c r="E3400">
        <v>0</v>
      </c>
      <c r="F3400">
        <v>0</v>
      </c>
      <c r="G3400">
        <v>0</v>
      </c>
      <c r="H3400">
        <v>156</v>
      </c>
      <c r="I3400" s="183" t="s">
        <v>5915</v>
      </c>
      <c r="J3400" s="183" t="s">
        <v>12052</v>
      </c>
      <c r="K3400">
        <v>0</v>
      </c>
      <c r="L3400">
        <v>156</v>
      </c>
    </row>
    <row r="3401" spans="1:12">
      <c r="A3401" s="183" t="s">
        <v>5986</v>
      </c>
      <c r="B3401" s="183" t="s">
        <v>5914</v>
      </c>
      <c r="C3401">
        <v>8800322957431</v>
      </c>
      <c r="D3401">
        <v>123</v>
      </c>
      <c r="E3401">
        <v>0</v>
      </c>
      <c r="F3401">
        <v>0</v>
      </c>
      <c r="G3401">
        <v>0</v>
      </c>
      <c r="H3401">
        <v>123</v>
      </c>
      <c r="I3401" s="183" t="s">
        <v>5915</v>
      </c>
      <c r="J3401" s="183" t="s">
        <v>12066</v>
      </c>
      <c r="K3401">
        <v>0</v>
      </c>
      <c r="L3401">
        <v>123</v>
      </c>
    </row>
    <row r="3402" spans="1:12">
      <c r="A3402" s="183" t="s">
        <v>6039</v>
      </c>
      <c r="B3402" s="183" t="s">
        <v>5995</v>
      </c>
      <c r="C3402">
        <v>8800322957646</v>
      </c>
      <c r="D3402">
        <v>108</v>
      </c>
      <c r="E3402">
        <v>0</v>
      </c>
      <c r="F3402">
        <v>0</v>
      </c>
      <c r="G3402">
        <v>0</v>
      </c>
      <c r="H3402">
        <v>108</v>
      </c>
      <c r="I3402" s="183" t="s">
        <v>5999</v>
      </c>
      <c r="J3402" s="183" t="s">
        <v>12055</v>
      </c>
      <c r="K3402">
        <v>0</v>
      </c>
      <c r="L3402">
        <v>108</v>
      </c>
    </row>
    <row r="3403" spans="1:12">
      <c r="A3403" s="183" t="s">
        <v>6040</v>
      </c>
      <c r="B3403" s="183" t="s">
        <v>5995</v>
      </c>
      <c r="C3403">
        <v>8800322957677</v>
      </c>
      <c r="D3403">
        <v>160</v>
      </c>
      <c r="E3403">
        <v>0</v>
      </c>
      <c r="F3403">
        <v>0</v>
      </c>
      <c r="G3403">
        <v>0</v>
      </c>
      <c r="H3403">
        <v>160</v>
      </c>
      <c r="I3403" s="183" t="s">
        <v>5999</v>
      </c>
      <c r="J3403" s="183" t="s">
        <v>12066</v>
      </c>
      <c r="K3403">
        <v>0</v>
      </c>
      <c r="L3403">
        <v>160</v>
      </c>
    </row>
    <row r="3404" spans="1:12">
      <c r="A3404" s="183" t="s">
        <v>6041</v>
      </c>
      <c r="B3404" s="183" t="s">
        <v>5995</v>
      </c>
      <c r="C3404">
        <v>8800322957714</v>
      </c>
      <c r="D3404">
        <v>172</v>
      </c>
      <c r="E3404">
        <v>0</v>
      </c>
      <c r="F3404">
        <v>0</v>
      </c>
      <c r="G3404">
        <v>0</v>
      </c>
      <c r="H3404">
        <v>172</v>
      </c>
      <c r="I3404" s="183" t="s">
        <v>5999</v>
      </c>
      <c r="J3404" s="183" t="s">
        <v>12057</v>
      </c>
      <c r="K3404">
        <v>0</v>
      </c>
      <c r="L3404">
        <v>172</v>
      </c>
    </row>
    <row r="3405" spans="1:12">
      <c r="A3405" s="183" t="s">
        <v>6042</v>
      </c>
      <c r="B3405" s="183" t="s">
        <v>5995</v>
      </c>
      <c r="C3405">
        <v>8800322957776</v>
      </c>
      <c r="D3405">
        <v>68</v>
      </c>
      <c r="E3405">
        <v>0</v>
      </c>
      <c r="F3405">
        <v>0</v>
      </c>
      <c r="G3405">
        <v>0</v>
      </c>
      <c r="H3405">
        <v>68</v>
      </c>
      <c r="I3405" s="183" t="s">
        <v>5999</v>
      </c>
      <c r="J3405" s="183" t="s">
        <v>12066</v>
      </c>
      <c r="K3405">
        <v>0</v>
      </c>
      <c r="L3405">
        <v>68</v>
      </c>
    </row>
    <row r="3406" spans="1:12">
      <c r="A3406" s="183" t="s">
        <v>9060</v>
      </c>
      <c r="B3406" s="183" t="s">
        <v>8644</v>
      </c>
      <c r="C3406">
        <v>8800358456427</v>
      </c>
      <c r="D3406">
        <v>646</v>
      </c>
      <c r="E3406">
        <v>0</v>
      </c>
      <c r="F3406">
        <v>0</v>
      </c>
      <c r="G3406">
        <v>0</v>
      </c>
      <c r="H3406">
        <v>646</v>
      </c>
      <c r="I3406" s="183" t="s">
        <v>8996</v>
      </c>
      <c r="J3406" s="183" t="s">
        <v>12048</v>
      </c>
      <c r="K3406">
        <v>0</v>
      </c>
      <c r="L3406">
        <v>646</v>
      </c>
    </row>
    <row r="3407" spans="1:12">
      <c r="A3407" s="183" t="s">
        <v>9061</v>
      </c>
      <c r="B3407" s="183" t="s">
        <v>8644</v>
      </c>
      <c r="C3407">
        <v>8800358456571</v>
      </c>
      <c r="D3407">
        <v>340</v>
      </c>
      <c r="E3407">
        <v>0</v>
      </c>
      <c r="F3407">
        <v>0</v>
      </c>
      <c r="G3407">
        <v>0</v>
      </c>
      <c r="H3407">
        <v>340</v>
      </c>
      <c r="I3407" s="183" t="s">
        <v>8996</v>
      </c>
      <c r="J3407" s="183" t="s">
        <v>12061</v>
      </c>
      <c r="K3407">
        <v>0</v>
      </c>
      <c r="L3407">
        <v>340</v>
      </c>
    </row>
    <row r="3408" spans="1:12">
      <c r="A3408" s="183" t="s">
        <v>9062</v>
      </c>
      <c r="B3408" s="183" t="s">
        <v>8644</v>
      </c>
      <c r="C3408">
        <v>8800358456625</v>
      </c>
      <c r="D3408">
        <v>320</v>
      </c>
      <c r="E3408">
        <v>0</v>
      </c>
      <c r="F3408">
        <v>0</v>
      </c>
      <c r="G3408">
        <v>0</v>
      </c>
      <c r="H3408">
        <v>320</v>
      </c>
      <c r="I3408" s="183" t="s">
        <v>8996</v>
      </c>
      <c r="J3408" s="183" t="s">
        <v>12066</v>
      </c>
      <c r="K3408">
        <v>0</v>
      </c>
      <c r="L3408">
        <v>320</v>
      </c>
    </row>
    <row r="3409" spans="1:12">
      <c r="A3409" s="183" t="s">
        <v>9063</v>
      </c>
      <c r="B3409" s="183" t="s">
        <v>8644</v>
      </c>
      <c r="C3409">
        <v>8800358456656</v>
      </c>
      <c r="D3409">
        <v>281</v>
      </c>
      <c r="E3409">
        <v>0</v>
      </c>
      <c r="F3409">
        <v>0</v>
      </c>
      <c r="G3409">
        <v>0</v>
      </c>
      <c r="H3409">
        <v>281</v>
      </c>
      <c r="I3409" s="183" t="s">
        <v>8996</v>
      </c>
      <c r="J3409" s="183" t="s">
        <v>12061</v>
      </c>
      <c r="K3409">
        <v>0</v>
      </c>
      <c r="L3409">
        <v>281</v>
      </c>
    </row>
    <row r="3410" spans="1:12">
      <c r="A3410" s="183" t="s">
        <v>577</v>
      </c>
      <c r="B3410" s="183" t="s">
        <v>1001</v>
      </c>
      <c r="C3410">
        <v>33050206</v>
      </c>
      <c r="D3410">
        <v>56</v>
      </c>
      <c r="E3410">
        <v>0</v>
      </c>
      <c r="F3410">
        <v>54</v>
      </c>
      <c r="G3410">
        <v>0</v>
      </c>
      <c r="H3410">
        <v>110</v>
      </c>
      <c r="I3410" s="183" t="s">
        <v>1002</v>
      </c>
      <c r="J3410" s="183" t="s">
        <v>12052</v>
      </c>
      <c r="K3410">
        <v>0</v>
      </c>
      <c r="L3410">
        <v>56</v>
      </c>
    </row>
    <row r="3411" spans="1:12">
      <c r="A3411" s="183" t="s">
        <v>590</v>
      </c>
      <c r="B3411" s="183" t="s">
        <v>1001</v>
      </c>
      <c r="C3411">
        <v>33050226</v>
      </c>
      <c r="D3411">
        <v>45</v>
      </c>
      <c r="E3411">
        <v>0</v>
      </c>
      <c r="F3411">
        <v>17</v>
      </c>
      <c r="G3411">
        <v>0</v>
      </c>
      <c r="H3411">
        <v>62</v>
      </c>
      <c r="I3411" s="183" t="s">
        <v>1002</v>
      </c>
      <c r="J3411" s="183" t="s">
        <v>12057</v>
      </c>
      <c r="K3411">
        <v>0</v>
      </c>
      <c r="L3411">
        <v>45</v>
      </c>
    </row>
    <row r="3412" spans="1:12">
      <c r="A3412" s="183" t="s">
        <v>592</v>
      </c>
      <c r="B3412" s="183" t="s">
        <v>1001</v>
      </c>
      <c r="C3412">
        <v>33050230</v>
      </c>
      <c r="D3412">
        <v>34</v>
      </c>
      <c r="E3412">
        <v>0</v>
      </c>
      <c r="F3412">
        <v>0</v>
      </c>
      <c r="G3412">
        <v>0</v>
      </c>
      <c r="H3412">
        <v>34</v>
      </c>
      <c r="I3412" s="183" t="s">
        <v>1002</v>
      </c>
      <c r="J3412" s="183" t="s">
        <v>12060</v>
      </c>
      <c r="K3412">
        <v>0</v>
      </c>
      <c r="L3412">
        <v>34</v>
      </c>
    </row>
    <row r="3413" spans="1:12">
      <c r="A3413" s="183" t="s">
        <v>597</v>
      </c>
      <c r="B3413" s="183" t="s">
        <v>979</v>
      </c>
      <c r="C3413">
        <v>35010205</v>
      </c>
      <c r="D3413">
        <v>41</v>
      </c>
      <c r="E3413">
        <v>0</v>
      </c>
      <c r="F3413">
        <v>25</v>
      </c>
      <c r="G3413">
        <v>0</v>
      </c>
      <c r="H3413">
        <v>66</v>
      </c>
      <c r="I3413" s="183" t="s">
        <v>980</v>
      </c>
      <c r="J3413" s="183" t="s">
        <v>12059</v>
      </c>
      <c r="K3413">
        <v>0</v>
      </c>
      <c r="L3413">
        <v>41</v>
      </c>
    </row>
    <row r="3414" spans="1:12">
      <c r="A3414" s="183" t="s">
        <v>2950</v>
      </c>
      <c r="B3414" s="183" t="s">
        <v>979</v>
      </c>
      <c r="C3414">
        <v>35010213</v>
      </c>
      <c r="D3414">
        <v>136</v>
      </c>
      <c r="E3414">
        <v>0</v>
      </c>
      <c r="F3414">
        <v>17</v>
      </c>
      <c r="G3414">
        <v>0</v>
      </c>
      <c r="H3414">
        <v>153</v>
      </c>
      <c r="I3414" s="183" t="s">
        <v>980</v>
      </c>
      <c r="J3414" s="183" t="s">
        <v>12060</v>
      </c>
      <c r="K3414">
        <v>0</v>
      </c>
      <c r="L3414">
        <v>136</v>
      </c>
    </row>
    <row r="3415" spans="1:12">
      <c r="A3415" s="183" t="s">
        <v>3687</v>
      </c>
      <c r="B3415" s="183" t="s">
        <v>979</v>
      </c>
      <c r="C3415">
        <v>35010215</v>
      </c>
      <c r="D3415">
        <v>79</v>
      </c>
      <c r="E3415">
        <v>0</v>
      </c>
      <c r="F3415">
        <v>31</v>
      </c>
      <c r="G3415">
        <v>0</v>
      </c>
      <c r="H3415">
        <v>110</v>
      </c>
      <c r="I3415" s="183" t="s">
        <v>980</v>
      </c>
      <c r="J3415" s="183" t="s">
        <v>12087</v>
      </c>
      <c r="K3415">
        <v>0</v>
      </c>
      <c r="L3415">
        <v>79</v>
      </c>
    </row>
    <row r="3416" spans="1:12">
      <c r="A3416" s="183" t="s">
        <v>604</v>
      </c>
      <c r="B3416" s="183" t="s">
        <v>979</v>
      </c>
      <c r="C3416">
        <v>35010226</v>
      </c>
      <c r="D3416">
        <v>55</v>
      </c>
      <c r="E3416">
        <v>0</v>
      </c>
      <c r="F3416">
        <v>30</v>
      </c>
      <c r="G3416">
        <v>0</v>
      </c>
      <c r="H3416">
        <v>85</v>
      </c>
      <c r="I3416" s="183" t="s">
        <v>980</v>
      </c>
      <c r="J3416" s="183" t="s">
        <v>12092</v>
      </c>
      <c r="K3416">
        <v>0</v>
      </c>
      <c r="L3416">
        <v>55</v>
      </c>
    </row>
    <row r="3417" spans="1:12">
      <c r="A3417" s="183" t="s">
        <v>609</v>
      </c>
      <c r="B3417" s="183" t="s">
        <v>979</v>
      </c>
      <c r="C3417">
        <v>35010236</v>
      </c>
      <c r="D3417">
        <v>0</v>
      </c>
      <c r="E3417">
        <v>0</v>
      </c>
      <c r="F3417">
        <v>79</v>
      </c>
      <c r="G3417">
        <v>0</v>
      </c>
      <c r="H3417">
        <v>79</v>
      </c>
      <c r="I3417" s="183" t="s">
        <v>980</v>
      </c>
      <c r="J3417" s="183" t="s">
        <v>12054</v>
      </c>
      <c r="K3417">
        <v>0</v>
      </c>
      <c r="L3417">
        <v>0</v>
      </c>
    </row>
    <row r="3418" spans="1:12">
      <c r="A3418" s="183" t="s">
        <v>3767</v>
      </c>
      <c r="B3418" s="183" t="s">
        <v>1008</v>
      </c>
      <c r="C3418">
        <v>35020200</v>
      </c>
      <c r="D3418">
        <v>49</v>
      </c>
      <c r="E3418">
        <v>0</v>
      </c>
      <c r="F3418">
        <v>0</v>
      </c>
      <c r="G3418">
        <v>0</v>
      </c>
      <c r="H3418">
        <v>49</v>
      </c>
      <c r="I3418" s="183" t="s">
        <v>1009</v>
      </c>
      <c r="J3418" s="183" t="s">
        <v>12054</v>
      </c>
      <c r="K3418">
        <v>0</v>
      </c>
      <c r="L3418">
        <v>49</v>
      </c>
    </row>
    <row r="3419" spans="1:12">
      <c r="A3419" s="183" t="s">
        <v>625</v>
      </c>
      <c r="B3419" s="183" t="s">
        <v>1008</v>
      </c>
      <c r="C3419">
        <v>35020222</v>
      </c>
      <c r="D3419">
        <v>105</v>
      </c>
      <c r="E3419">
        <v>0</v>
      </c>
      <c r="F3419">
        <v>15</v>
      </c>
      <c r="G3419">
        <v>0</v>
      </c>
      <c r="H3419">
        <v>120</v>
      </c>
      <c r="I3419" s="183" t="s">
        <v>1009</v>
      </c>
      <c r="J3419" s="183" t="s">
        <v>12058</v>
      </c>
      <c r="K3419">
        <v>0</v>
      </c>
      <c r="L3419">
        <v>105</v>
      </c>
    </row>
    <row r="3420" spans="1:12">
      <c r="A3420" s="183" t="s">
        <v>628</v>
      </c>
      <c r="B3420" s="183" t="s">
        <v>1008</v>
      </c>
      <c r="C3420">
        <v>35020228</v>
      </c>
      <c r="D3420">
        <v>30</v>
      </c>
      <c r="E3420">
        <v>0</v>
      </c>
      <c r="F3420">
        <v>35</v>
      </c>
      <c r="G3420">
        <v>0</v>
      </c>
      <c r="H3420">
        <v>65</v>
      </c>
      <c r="I3420" s="183" t="s">
        <v>1009</v>
      </c>
      <c r="J3420" s="183" t="s">
        <v>12095</v>
      </c>
      <c r="K3420">
        <v>0</v>
      </c>
      <c r="L3420">
        <v>30</v>
      </c>
    </row>
    <row r="3421" spans="1:12">
      <c r="A3421" s="183" t="s">
        <v>630</v>
      </c>
      <c r="B3421" s="183" t="s">
        <v>1008</v>
      </c>
      <c r="C3421">
        <v>35020234</v>
      </c>
      <c r="D3421">
        <v>0</v>
      </c>
      <c r="E3421">
        <v>0</v>
      </c>
      <c r="F3421">
        <v>97</v>
      </c>
      <c r="G3421">
        <v>0</v>
      </c>
      <c r="H3421">
        <v>97</v>
      </c>
      <c r="I3421" s="183" t="s">
        <v>1009</v>
      </c>
      <c r="J3421" s="183" t="s">
        <v>12091</v>
      </c>
      <c r="K3421">
        <v>0</v>
      </c>
      <c r="L3421">
        <v>0</v>
      </c>
    </row>
    <row r="3422" spans="1:12">
      <c r="A3422" s="183" t="s">
        <v>9064</v>
      </c>
      <c r="B3422" s="183" t="s">
        <v>8646</v>
      </c>
      <c r="C3422">
        <v>8800358456885</v>
      </c>
      <c r="D3422">
        <v>300</v>
      </c>
      <c r="E3422">
        <v>0</v>
      </c>
      <c r="F3422">
        <v>0</v>
      </c>
      <c r="G3422">
        <v>0</v>
      </c>
      <c r="H3422">
        <v>300</v>
      </c>
      <c r="I3422" s="183" t="s">
        <v>9000</v>
      </c>
      <c r="J3422" s="183" t="s">
        <v>12087</v>
      </c>
      <c r="K3422">
        <v>0</v>
      </c>
      <c r="L3422">
        <v>300</v>
      </c>
    </row>
    <row r="3423" spans="1:12">
      <c r="A3423" s="183" t="s">
        <v>9065</v>
      </c>
      <c r="B3423" s="183" t="s">
        <v>8645</v>
      </c>
      <c r="C3423">
        <v>8800358456960</v>
      </c>
      <c r="D3423">
        <v>558</v>
      </c>
      <c r="E3423">
        <v>0</v>
      </c>
      <c r="F3423">
        <v>0</v>
      </c>
      <c r="G3423">
        <v>0</v>
      </c>
      <c r="H3423">
        <v>558</v>
      </c>
      <c r="I3423" s="183" t="s">
        <v>9002</v>
      </c>
      <c r="J3423" s="183" t="s">
        <v>12095</v>
      </c>
      <c r="K3423">
        <v>0</v>
      </c>
      <c r="L3423">
        <v>558</v>
      </c>
    </row>
    <row r="3424" spans="1:12">
      <c r="A3424" s="183" t="s">
        <v>9066</v>
      </c>
      <c r="B3424" s="183" t="s">
        <v>8645</v>
      </c>
      <c r="C3424">
        <v>8800358457080</v>
      </c>
      <c r="D3424">
        <v>475</v>
      </c>
      <c r="E3424">
        <v>0</v>
      </c>
      <c r="F3424">
        <v>0</v>
      </c>
      <c r="G3424">
        <v>0</v>
      </c>
      <c r="H3424">
        <v>475</v>
      </c>
      <c r="I3424" s="183" t="s">
        <v>9002</v>
      </c>
      <c r="J3424" s="183" t="s">
        <v>12063</v>
      </c>
      <c r="K3424">
        <v>0</v>
      </c>
      <c r="L3424">
        <v>475</v>
      </c>
    </row>
    <row r="3425" spans="1:12">
      <c r="A3425" s="183" t="s">
        <v>9067</v>
      </c>
      <c r="B3425" s="183" t="s">
        <v>8645</v>
      </c>
      <c r="C3425">
        <v>8800358457097</v>
      </c>
      <c r="D3425">
        <v>465</v>
      </c>
      <c r="E3425">
        <v>0</v>
      </c>
      <c r="F3425">
        <v>0</v>
      </c>
      <c r="G3425">
        <v>0</v>
      </c>
      <c r="H3425">
        <v>465</v>
      </c>
      <c r="I3425" s="183" t="s">
        <v>9002</v>
      </c>
      <c r="J3425" s="183" t="s">
        <v>12061</v>
      </c>
      <c r="K3425">
        <v>0</v>
      </c>
      <c r="L3425">
        <v>465</v>
      </c>
    </row>
    <row r="3426" spans="1:12">
      <c r="A3426" s="183" t="s">
        <v>8836</v>
      </c>
      <c r="B3426" s="183" t="s">
        <v>8648</v>
      </c>
      <c r="C3426">
        <v>8800358457264</v>
      </c>
      <c r="D3426">
        <v>164</v>
      </c>
      <c r="E3426">
        <v>0</v>
      </c>
      <c r="F3426">
        <v>0</v>
      </c>
      <c r="G3426">
        <v>0</v>
      </c>
      <c r="H3426">
        <v>164</v>
      </c>
      <c r="I3426" s="183" t="s">
        <v>8824</v>
      </c>
      <c r="J3426" s="183" t="s">
        <v>12097</v>
      </c>
      <c r="K3426">
        <v>0</v>
      </c>
      <c r="L3426">
        <v>164</v>
      </c>
    </row>
    <row r="3427" spans="1:12">
      <c r="A3427" s="183" t="s">
        <v>8837</v>
      </c>
      <c r="B3427" s="183" t="s">
        <v>8648</v>
      </c>
      <c r="C3427">
        <v>8800358457301</v>
      </c>
      <c r="D3427">
        <v>247</v>
      </c>
      <c r="E3427">
        <v>0</v>
      </c>
      <c r="F3427">
        <v>0</v>
      </c>
      <c r="G3427">
        <v>0</v>
      </c>
      <c r="H3427">
        <v>247</v>
      </c>
      <c r="I3427" s="183" t="s">
        <v>8824</v>
      </c>
      <c r="J3427" s="183" t="s">
        <v>12055</v>
      </c>
      <c r="K3427">
        <v>0</v>
      </c>
      <c r="L3427">
        <v>247</v>
      </c>
    </row>
    <row r="3428" spans="1:12">
      <c r="A3428" s="183" t="s">
        <v>8838</v>
      </c>
      <c r="B3428" s="183" t="s">
        <v>8648</v>
      </c>
      <c r="C3428">
        <v>8800358457363</v>
      </c>
      <c r="D3428">
        <v>233</v>
      </c>
      <c r="E3428">
        <v>0</v>
      </c>
      <c r="F3428">
        <v>0</v>
      </c>
      <c r="G3428">
        <v>0</v>
      </c>
      <c r="H3428">
        <v>233</v>
      </c>
      <c r="I3428" s="183" t="s">
        <v>8824</v>
      </c>
      <c r="J3428" s="183" t="s">
        <v>12097</v>
      </c>
      <c r="K3428">
        <v>0</v>
      </c>
      <c r="L3428">
        <v>233</v>
      </c>
    </row>
    <row r="3429" spans="1:12">
      <c r="A3429" s="183" t="s">
        <v>8667</v>
      </c>
      <c r="B3429" s="183" t="s">
        <v>8648</v>
      </c>
      <c r="C3429">
        <v>8800358457509</v>
      </c>
      <c r="D3429">
        <v>277</v>
      </c>
      <c r="E3429">
        <v>0</v>
      </c>
      <c r="F3429">
        <v>1</v>
      </c>
      <c r="G3429">
        <v>0</v>
      </c>
      <c r="H3429">
        <v>278</v>
      </c>
      <c r="I3429" s="183" t="s">
        <v>8649</v>
      </c>
      <c r="J3429" s="183" t="s">
        <v>12055</v>
      </c>
      <c r="K3429">
        <v>0</v>
      </c>
      <c r="L3429">
        <v>277</v>
      </c>
    </row>
    <row r="3430" spans="1:12">
      <c r="A3430" s="183" t="s">
        <v>9068</v>
      </c>
      <c r="B3430" s="183" t="s">
        <v>9004</v>
      </c>
      <c r="C3430">
        <v>8800358459084</v>
      </c>
      <c r="D3430">
        <v>130</v>
      </c>
      <c r="E3430">
        <v>0</v>
      </c>
      <c r="F3430">
        <v>0</v>
      </c>
      <c r="G3430">
        <v>0</v>
      </c>
      <c r="H3430">
        <v>130</v>
      </c>
      <c r="I3430" s="183" t="s">
        <v>9005</v>
      </c>
      <c r="J3430" s="183" t="s">
        <v>12087</v>
      </c>
      <c r="K3430">
        <v>0</v>
      </c>
      <c r="L3430">
        <v>130</v>
      </c>
    </row>
    <row r="3431" spans="1:12">
      <c r="A3431" s="183" t="s">
        <v>9069</v>
      </c>
      <c r="B3431" s="183" t="s">
        <v>9004</v>
      </c>
      <c r="C3431">
        <v>8800358459114</v>
      </c>
      <c r="D3431">
        <v>130</v>
      </c>
      <c r="E3431">
        <v>0</v>
      </c>
      <c r="F3431">
        <v>0</v>
      </c>
      <c r="G3431">
        <v>0</v>
      </c>
      <c r="H3431">
        <v>130</v>
      </c>
      <c r="I3431" s="183" t="s">
        <v>9005</v>
      </c>
      <c r="J3431" s="183" t="s">
        <v>12066</v>
      </c>
      <c r="K3431">
        <v>0</v>
      </c>
      <c r="L3431">
        <v>130</v>
      </c>
    </row>
    <row r="3432" spans="1:12">
      <c r="A3432" s="183" t="s">
        <v>9070</v>
      </c>
      <c r="B3432" s="183" t="s">
        <v>9004</v>
      </c>
      <c r="C3432">
        <v>8800358459121</v>
      </c>
      <c r="D3432">
        <v>130</v>
      </c>
      <c r="E3432">
        <v>0</v>
      </c>
      <c r="F3432">
        <v>0</v>
      </c>
      <c r="G3432">
        <v>0</v>
      </c>
      <c r="H3432">
        <v>130</v>
      </c>
      <c r="I3432" s="183" t="s">
        <v>9005</v>
      </c>
      <c r="J3432" s="183" t="s">
        <v>12095</v>
      </c>
      <c r="K3432">
        <v>0</v>
      </c>
      <c r="L3432">
        <v>130</v>
      </c>
    </row>
    <row r="3433" spans="1:12">
      <c r="A3433" s="183" t="s">
        <v>9071</v>
      </c>
      <c r="B3433" s="183" t="s">
        <v>9004</v>
      </c>
      <c r="C3433">
        <v>8800358459206</v>
      </c>
      <c r="D3433">
        <v>130</v>
      </c>
      <c r="E3433">
        <v>0</v>
      </c>
      <c r="F3433">
        <v>0</v>
      </c>
      <c r="G3433">
        <v>0</v>
      </c>
      <c r="H3433">
        <v>130</v>
      </c>
      <c r="I3433" s="183" t="s">
        <v>9005</v>
      </c>
      <c r="J3433" s="183" t="s">
        <v>12095</v>
      </c>
      <c r="K3433">
        <v>0</v>
      </c>
      <c r="L3433">
        <v>130</v>
      </c>
    </row>
    <row r="3434" spans="1:12">
      <c r="A3434" s="183" t="s">
        <v>9072</v>
      </c>
      <c r="B3434" s="183" t="s">
        <v>9008</v>
      </c>
      <c r="C3434">
        <v>8800358459275</v>
      </c>
      <c r="D3434">
        <v>130</v>
      </c>
      <c r="E3434">
        <v>0</v>
      </c>
      <c r="F3434">
        <v>0</v>
      </c>
      <c r="G3434">
        <v>0</v>
      </c>
      <c r="H3434">
        <v>130</v>
      </c>
      <c r="I3434" s="183" t="s">
        <v>9009</v>
      </c>
      <c r="J3434" s="183" t="s">
        <v>12050</v>
      </c>
      <c r="K3434">
        <v>0</v>
      </c>
      <c r="L3434">
        <v>130</v>
      </c>
    </row>
    <row r="3435" spans="1:12">
      <c r="A3435" s="183" t="s">
        <v>9073</v>
      </c>
      <c r="B3435" s="183" t="s">
        <v>9008</v>
      </c>
      <c r="C3435">
        <v>8800358459367</v>
      </c>
      <c r="D3435">
        <v>130</v>
      </c>
      <c r="E3435">
        <v>0</v>
      </c>
      <c r="F3435">
        <v>0</v>
      </c>
      <c r="G3435">
        <v>0</v>
      </c>
      <c r="H3435">
        <v>130</v>
      </c>
      <c r="I3435" s="183" t="s">
        <v>9009</v>
      </c>
      <c r="J3435" s="183" t="s">
        <v>12066</v>
      </c>
      <c r="K3435">
        <v>0</v>
      </c>
      <c r="L3435">
        <v>130</v>
      </c>
    </row>
    <row r="3436" spans="1:12">
      <c r="A3436" s="183" t="s">
        <v>9074</v>
      </c>
      <c r="B3436" s="183" t="s">
        <v>9013</v>
      </c>
      <c r="C3436">
        <v>8800358459480</v>
      </c>
      <c r="D3436">
        <v>130</v>
      </c>
      <c r="E3436">
        <v>0</v>
      </c>
      <c r="F3436">
        <v>0</v>
      </c>
      <c r="G3436">
        <v>0</v>
      </c>
      <c r="H3436">
        <v>130</v>
      </c>
      <c r="I3436" s="183" t="s">
        <v>9014</v>
      </c>
      <c r="J3436" s="183" t="s">
        <v>12048</v>
      </c>
      <c r="K3436">
        <v>0</v>
      </c>
      <c r="L3436">
        <v>130</v>
      </c>
    </row>
    <row r="3437" spans="1:12">
      <c r="A3437" s="183" t="s">
        <v>12032</v>
      </c>
      <c r="B3437" s="183" t="s">
        <v>9013</v>
      </c>
      <c r="C3437">
        <v>8800358459565</v>
      </c>
      <c r="D3437">
        <v>130</v>
      </c>
      <c r="E3437">
        <v>0</v>
      </c>
      <c r="F3437">
        <v>0</v>
      </c>
      <c r="G3437">
        <v>0</v>
      </c>
      <c r="H3437">
        <v>130</v>
      </c>
      <c r="I3437" s="183" t="s">
        <v>9014</v>
      </c>
      <c r="J3437" s="183" t="s">
        <v>12055</v>
      </c>
      <c r="K3437">
        <v>0</v>
      </c>
      <c r="L3437">
        <v>130</v>
      </c>
    </row>
    <row r="3438" spans="1:12">
      <c r="A3438" s="183" t="s">
        <v>9104</v>
      </c>
      <c r="B3438" s="183" t="s">
        <v>9013</v>
      </c>
      <c r="C3438">
        <v>8800358459633</v>
      </c>
      <c r="D3438">
        <v>130</v>
      </c>
      <c r="E3438">
        <v>0</v>
      </c>
      <c r="F3438">
        <v>0</v>
      </c>
      <c r="G3438">
        <v>0</v>
      </c>
      <c r="H3438">
        <v>130</v>
      </c>
      <c r="I3438" s="183" t="s">
        <v>9014</v>
      </c>
      <c r="J3438" s="183" t="s">
        <v>12087</v>
      </c>
      <c r="K3438">
        <v>0</v>
      </c>
      <c r="L3438">
        <v>130</v>
      </c>
    </row>
    <row r="3439" spans="1:12">
      <c r="A3439" s="183" t="s">
        <v>8785</v>
      </c>
      <c r="B3439" s="183" t="s">
        <v>8776</v>
      </c>
      <c r="C3439">
        <v>8800358459763</v>
      </c>
      <c r="D3439">
        <v>130</v>
      </c>
      <c r="E3439">
        <v>0</v>
      </c>
      <c r="F3439">
        <v>0</v>
      </c>
      <c r="G3439">
        <v>0</v>
      </c>
      <c r="H3439">
        <v>130</v>
      </c>
      <c r="I3439" s="183" t="s">
        <v>8777</v>
      </c>
      <c r="J3439" s="183" t="s">
        <v>12097</v>
      </c>
      <c r="K3439">
        <v>0</v>
      </c>
      <c r="L3439">
        <v>130</v>
      </c>
    </row>
    <row r="3440" spans="1:12">
      <c r="A3440" s="183" t="s">
        <v>8786</v>
      </c>
      <c r="B3440" s="183" t="s">
        <v>8776</v>
      </c>
      <c r="C3440">
        <v>8800358459817</v>
      </c>
      <c r="D3440">
        <v>130</v>
      </c>
      <c r="E3440">
        <v>0</v>
      </c>
      <c r="F3440">
        <v>0</v>
      </c>
      <c r="G3440">
        <v>0</v>
      </c>
      <c r="H3440">
        <v>130</v>
      </c>
      <c r="I3440" s="183" t="s">
        <v>8777</v>
      </c>
      <c r="J3440" s="183" t="s">
        <v>12048</v>
      </c>
      <c r="K3440">
        <v>0</v>
      </c>
      <c r="L3440">
        <v>130</v>
      </c>
    </row>
    <row r="3441" spans="1:12">
      <c r="A3441" s="183" t="s">
        <v>8787</v>
      </c>
      <c r="B3441" s="183" t="s">
        <v>8776</v>
      </c>
      <c r="C3441">
        <v>8800358459909</v>
      </c>
      <c r="D3441">
        <v>130</v>
      </c>
      <c r="E3441">
        <v>0</v>
      </c>
      <c r="F3441">
        <v>0</v>
      </c>
      <c r="G3441">
        <v>0</v>
      </c>
      <c r="H3441">
        <v>130</v>
      </c>
      <c r="I3441" s="183" t="s">
        <v>8777</v>
      </c>
      <c r="J3441" s="183" t="s">
        <v>12050</v>
      </c>
      <c r="K3441">
        <v>0</v>
      </c>
      <c r="L3441">
        <v>130</v>
      </c>
    </row>
    <row r="3442" spans="1:12">
      <c r="A3442" s="183" t="s">
        <v>8788</v>
      </c>
      <c r="B3442" s="183" t="s">
        <v>8776</v>
      </c>
      <c r="C3442">
        <v>8800358459923</v>
      </c>
      <c r="D3442">
        <v>130</v>
      </c>
      <c r="E3442">
        <v>0</v>
      </c>
      <c r="F3442">
        <v>0</v>
      </c>
      <c r="G3442">
        <v>0</v>
      </c>
      <c r="H3442">
        <v>130</v>
      </c>
      <c r="I3442" s="183" t="s">
        <v>8777</v>
      </c>
      <c r="J3442" s="183" t="s">
        <v>12066</v>
      </c>
      <c r="K3442">
        <v>0</v>
      </c>
      <c r="L3442">
        <v>130</v>
      </c>
    </row>
    <row r="3443" spans="1:12">
      <c r="A3443" s="183" t="s">
        <v>6884</v>
      </c>
      <c r="B3443" s="183" t="s">
        <v>6338</v>
      </c>
      <c r="C3443">
        <v>8800358433657</v>
      </c>
      <c r="D3443">
        <v>368</v>
      </c>
      <c r="E3443">
        <v>0</v>
      </c>
      <c r="F3443">
        <v>0</v>
      </c>
      <c r="G3443">
        <v>0</v>
      </c>
      <c r="H3443">
        <v>368</v>
      </c>
      <c r="I3443" s="183" t="s">
        <v>6400</v>
      </c>
      <c r="J3443" s="183" t="s">
        <v>12055</v>
      </c>
      <c r="K3443">
        <v>0</v>
      </c>
      <c r="L3443">
        <v>368</v>
      </c>
    </row>
    <row r="3444" spans="1:12">
      <c r="A3444" s="183" t="s">
        <v>6892</v>
      </c>
      <c r="B3444" s="183" t="s">
        <v>6338</v>
      </c>
      <c r="C3444">
        <v>8800358433756</v>
      </c>
      <c r="D3444">
        <v>189</v>
      </c>
      <c r="E3444">
        <v>0</v>
      </c>
      <c r="F3444">
        <v>0</v>
      </c>
      <c r="G3444">
        <v>0</v>
      </c>
      <c r="H3444">
        <v>189</v>
      </c>
      <c r="I3444" s="183" t="s">
        <v>6400</v>
      </c>
      <c r="J3444" s="183" t="s">
        <v>12066</v>
      </c>
      <c r="K3444">
        <v>0</v>
      </c>
      <c r="L3444">
        <v>189</v>
      </c>
    </row>
    <row r="3445" spans="1:12">
      <c r="A3445" s="183" t="s">
        <v>6455</v>
      </c>
      <c r="B3445" s="183" t="s">
        <v>1029</v>
      </c>
      <c r="C3445">
        <v>8800358433855</v>
      </c>
      <c r="D3445">
        <v>148</v>
      </c>
      <c r="E3445">
        <v>0</v>
      </c>
      <c r="F3445">
        <v>0</v>
      </c>
      <c r="G3445">
        <v>0</v>
      </c>
      <c r="H3445">
        <v>148</v>
      </c>
      <c r="I3445" s="183" t="s">
        <v>6453</v>
      </c>
      <c r="J3445" s="183" t="s">
        <v>12055</v>
      </c>
      <c r="K3445">
        <v>0</v>
      </c>
      <c r="L3445">
        <v>148</v>
      </c>
    </row>
    <row r="3446" spans="1:12">
      <c r="A3446" s="183" t="s">
        <v>6462</v>
      </c>
      <c r="B3446" s="183" t="s">
        <v>1029</v>
      </c>
      <c r="C3446">
        <v>8800358433886</v>
      </c>
      <c r="D3446">
        <v>155</v>
      </c>
      <c r="E3446">
        <v>0</v>
      </c>
      <c r="F3446">
        <v>0</v>
      </c>
      <c r="G3446">
        <v>0</v>
      </c>
      <c r="H3446">
        <v>155</v>
      </c>
      <c r="I3446" s="183" t="s">
        <v>6453</v>
      </c>
      <c r="J3446" s="183" t="s">
        <v>12063</v>
      </c>
      <c r="K3446">
        <v>0</v>
      </c>
      <c r="L3446">
        <v>155</v>
      </c>
    </row>
    <row r="3447" spans="1:12">
      <c r="A3447" s="183" t="s">
        <v>6459</v>
      </c>
      <c r="B3447" s="183" t="s">
        <v>1029</v>
      </c>
      <c r="C3447">
        <v>8800358433947</v>
      </c>
      <c r="D3447">
        <v>764</v>
      </c>
      <c r="E3447">
        <v>0</v>
      </c>
      <c r="F3447">
        <v>0</v>
      </c>
      <c r="G3447">
        <v>0</v>
      </c>
      <c r="H3447">
        <v>764</v>
      </c>
      <c r="I3447" s="183" t="s">
        <v>6453</v>
      </c>
      <c r="J3447" s="183" t="s">
        <v>12057</v>
      </c>
      <c r="K3447">
        <v>0</v>
      </c>
      <c r="L3447">
        <v>764</v>
      </c>
    </row>
    <row r="3448" spans="1:12">
      <c r="A3448" s="183" t="s">
        <v>6467</v>
      </c>
      <c r="B3448" s="183" t="s">
        <v>1029</v>
      </c>
      <c r="C3448">
        <v>8800358434029</v>
      </c>
      <c r="D3448">
        <v>657</v>
      </c>
      <c r="E3448">
        <v>0</v>
      </c>
      <c r="F3448">
        <v>0</v>
      </c>
      <c r="G3448">
        <v>0</v>
      </c>
      <c r="H3448">
        <v>657</v>
      </c>
      <c r="I3448" s="183" t="s">
        <v>6453</v>
      </c>
      <c r="J3448" s="183" t="s">
        <v>12066</v>
      </c>
      <c r="K3448">
        <v>0</v>
      </c>
      <c r="L3448">
        <v>657</v>
      </c>
    </row>
    <row r="3449" spans="1:12">
      <c r="A3449" s="183" t="s">
        <v>6458</v>
      </c>
      <c r="B3449" s="183" t="s">
        <v>1029</v>
      </c>
      <c r="C3449">
        <v>8800358434043</v>
      </c>
      <c r="D3449">
        <v>566</v>
      </c>
      <c r="E3449">
        <v>0</v>
      </c>
      <c r="F3449">
        <v>0</v>
      </c>
      <c r="G3449">
        <v>0</v>
      </c>
      <c r="H3449">
        <v>566</v>
      </c>
      <c r="I3449" s="183" t="s">
        <v>6453</v>
      </c>
      <c r="J3449" s="183" t="s">
        <v>12063</v>
      </c>
      <c r="K3449">
        <v>0</v>
      </c>
      <c r="L3449">
        <v>566</v>
      </c>
    </row>
    <row r="3450" spans="1:12">
      <c r="A3450" s="183" t="s">
        <v>6465</v>
      </c>
      <c r="B3450" s="183" t="s">
        <v>1029</v>
      </c>
      <c r="C3450">
        <v>8800358434074</v>
      </c>
      <c r="D3450">
        <v>575</v>
      </c>
      <c r="E3450">
        <v>0</v>
      </c>
      <c r="F3450">
        <v>0</v>
      </c>
      <c r="G3450">
        <v>0</v>
      </c>
      <c r="H3450">
        <v>575</v>
      </c>
      <c r="I3450" s="183" t="s">
        <v>6453</v>
      </c>
      <c r="J3450" s="183" t="s">
        <v>12057</v>
      </c>
      <c r="K3450">
        <v>0</v>
      </c>
      <c r="L3450">
        <v>575</v>
      </c>
    </row>
    <row r="3451" spans="1:12">
      <c r="A3451" s="183" t="s">
        <v>6457</v>
      </c>
      <c r="B3451" s="183" t="s">
        <v>1026</v>
      </c>
      <c r="C3451">
        <v>8800358434128</v>
      </c>
      <c r="D3451">
        <v>539</v>
      </c>
      <c r="E3451">
        <v>0</v>
      </c>
      <c r="F3451">
        <v>0</v>
      </c>
      <c r="G3451">
        <v>0</v>
      </c>
      <c r="H3451">
        <v>539</v>
      </c>
      <c r="I3451" s="183" t="s">
        <v>6450</v>
      </c>
      <c r="J3451" s="183" t="s">
        <v>12066</v>
      </c>
      <c r="K3451">
        <v>0</v>
      </c>
      <c r="L3451">
        <v>539</v>
      </c>
    </row>
    <row r="3452" spans="1:12">
      <c r="A3452" s="183" t="s">
        <v>6852</v>
      </c>
      <c r="B3452" s="183" t="s">
        <v>1026</v>
      </c>
      <c r="C3452">
        <v>8800358434241</v>
      </c>
      <c r="D3452">
        <v>216</v>
      </c>
      <c r="E3452">
        <v>0</v>
      </c>
      <c r="F3452">
        <v>0</v>
      </c>
      <c r="G3452">
        <v>0</v>
      </c>
      <c r="H3452">
        <v>216</v>
      </c>
      <c r="I3452" s="183" t="s">
        <v>6450</v>
      </c>
      <c r="J3452" s="183" t="s">
        <v>12048</v>
      </c>
      <c r="K3452">
        <v>0</v>
      </c>
      <c r="L3452">
        <v>216</v>
      </c>
    </row>
    <row r="3453" spans="1:12">
      <c r="A3453" s="183" t="s">
        <v>6463</v>
      </c>
      <c r="B3453" s="183" t="s">
        <v>1026</v>
      </c>
      <c r="C3453">
        <v>8800358434272</v>
      </c>
      <c r="D3453">
        <v>171</v>
      </c>
      <c r="E3453">
        <v>0</v>
      </c>
      <c r="F3453">
        <v>0</v>
      </c>
      <c r="G3453">
        <v>0</v>
      </c>
      <c r="H3453">
        <v>171</v>
      </c>
      <c r="I3453" s="183" t="s">
        <v>6450</v>
      </c>
      <c r="J3453" s="183" t="s">
        <v>12095</v>
      </c>
      <c r="K3453">
        <v>0</v>
      </c>
      <c r="L3453">
        <v>171</v>
      </c>
    </row>
    <row r="3454" spans="1:12">
      <c r="A3454" s="183" t="s">
        <v>6630</v>
      </c>
      <c r="B3454" s="183" t="s">
        <v>1026</v>
      </c>
      <c r="C3454">
        <v>8800358434296</v>
      </c>
      <c r="D3454">
        <v>138</v>
      </c>
      <c r="E3454">
        <v>0</v>
      </c>
      <c r="F3454">
        <v>0</v>
      </c>
      <c r="G3454">
        <v>0</v>
      </c>
      <c r="H3454">
        <v>138</v>
      </c>
      <c r="I3454" s="183" t="s">
        <v>6450</v>
      </c>
      <c r="J3454" s="183" t="s">
        <v>12095</v>
      </c>
      <c r="K3454">
        <v>0</v>
      </c>
      <c r="L3454">
        <v>138</v>
      </c>
    </row>
    <row r="3455" spans="1:12">
      <c r="A3455" s="183" t="s">
        <v>6460</v>
      </c>
      <c r="B3455" s="183" t="s">
        <v>1026</v>
      </c>
      <c r="C3455">
        <v>8800358434326</v>
      </c>
      <c r="D3455">
        <v>272</v>
      </c>
      <c r="E3455">
        <v>0</v>
      </c>
      <c r="F3455">
        <v>0</v>
      </c>
      <c r="G3455">
        <v>0</v>
      </c>
      <c r="H3455">
        <v>272</v>
      </c>
      <c r="I3455" s="183" t="s">
        <v>6450</v>
      </c>
      <c r="J3455" s="183" t="s">
        <v>12066</v>
      </c>
      <c r="K3455">
        <v>0</v>
      </c>
      <c r="L3455">
        <v>272</v>
      </c>
    </row>
    <row r="3456" spans="1:12">
      <c r="A3456" s="183" t="s">
        <v>412</v>
      </c>
      <c r="B3456" s="183" t="s">
        <v>1182</v>
      </c>
      <c r="C3456">
        <v>15860213</v>
      </c>
      <c r="D3456">
        <v>18</v>
      </c>
      <c r="E3456">
        <v>0</v>
      </c>
      <c r="F3456" s="501">
        <v>2503</v>
      </c>
      <c r="G3456">
        <v>0</v>
      </c>
      <c r="H3456" s="501">
        <v>2521</v>
      </c>
      <c r="I3456" s="183" t="s">
        <v>1183</v>
      </c>
      <c r="J3456" s="183" t="s">
        <v>12081</v>
      </c>
      <c r="K3456">
        <v>0</v>
      </c>
      <c r="L3456">
        <v>18</v>
      </c>
    </row>
    <row r="3457" spans="1:12">
      <c r="A3457" s="183" t="s">
        <v>414</v>
      </c>
      <c r="B3457" s="183" t="s">
        <v>1182</v>
      </c>
      <c r="C3457">
        <v>15860215</v>
      </c>
      <c r="D3457">
        <v>0</v>
      </c>
      <c r="E3457">
        <v>0</v>
      </c>
      <c r="F3457" s="501">
        <v>2326</v>
      </c>
      <c r="G3457">
        <v>0</v>
      </c>
      <c r="H3457" s="501">
        <v>2326</v>
      </c>
      <c r="I3457" s="183" t="s">
        <v>1183</v>
      </c>
      <c r="J3457" s="183" t="s">
        <v>12094</v>
      </c>
      <c r="K3457">
        <v>0</v>
      </c>
      <c r="L3457">
        <v>0</v>
      </c>
    </row>
    <row r="3458" spans="1:12">
      <c r="A3458" s="183" t="s">
        <v>433</v>
      </c>
      <c r="B3458" s="183" t="s">
        <v>1010</v>
      </c>
      <c r="C3458">
        <v>15870203</v>
      </c>
      <c r="D3458">
        <v>106</v>
      </c>
      <c r="E3458">
        <v>0</v>
      </c>
      <c r="F3458">
        <v>387</v>
      </c>
      <c r="G3458">
        <v>0</v>
      </c>
      <c r="H3458">
        <v>493</v>
      </c>
      <c r="I3458" s="183" t="s">
        <v>1011</v>
      </c>
      <c r="J3458" s="183" t="s">
        <v>12092</v>
      </c>
      <c r="K3458">
        <v>0</v>
      </c>
      <c r="L3458">
        <v>106</v>
      </c>
    </row>
    <row r="3459" spans="1:12">
      <c r="A3459" s="183" t="s">
        <v>3944</v>
      </c>
      <c r="B3459" s="183" t="s">
        <v>1010</v>
      </c>
      <c r="C3459">
        <v>15870217</v>
      </c>
      <c r="D3459">
        <v>1</v>
      </c>
      <c r="E3459">
        <v>0</v>
      </c>
      <c r="F3459">
        <v>415</v>
      </c>
      <c r="G3459">
        <v>0</v>
      </c>
      <c r="H3459">
        <v>416</v>
      </c>
      <c r="I3459" s="183" t="s">
        <v>1011</v>
      </c>
      <c r="J3459" s="183" t="s">
        <v>12091</v>
      </c>
      <c r="K3459">
        <v>0</v>
      </c>
      <c r="L3459">
        <v>1</v>
      </c>
    </row>
    <row r="3460" spans="1:12">
      <c r="A3460" s="183" t="s">
        <v>3928</v>
      </c>
      <c r="B3460" s="183" t="s">
        <v>1010</v>
      </c>
      <c r="C3460">
        <v>15870220</v>
      </c>
      <c r="D3460">
        <v>8</v>
      </c>
      <c r="E3460">
        <v>0</v>
      </c>
      <c r="F3460">
        <v>123</v>
      </c>
      <c r="G3460">
        <v>0</v>
      </c>
      <c r="H3460">
        <v>131</v>
      </c>
      <c r="I3460" s="183" t="s">
        <v>1011</v>
      </c>
      <c r="J3460" s="183" t="s">
        <v>12092</v>
      </c>
      <c r="K3460">
        <v>0</v>
      </c>
      <c r="L3460">
        <v>8</v>
      </c>
    </row>
    <row r="3461" spans="1:12">
      <c r="A3461" s="183" t="s">
        <v>440</v>
      </c>
      <c r="B3461" s="183" t="s">
        <v>1010</v>
      </c>
      <c r="C3461">
        <v>15870234</v>
      </c>
      <c r="D3461">
        <v>44</v>
      </c>
      <c r="E3461">
        <v>0</v>
      </c>
      <c r="F3461">
        <v>183</v>
      </c>
      <c r="G3461">
        <v>0</v>
      </c>
      <c r="H3461">
        <v>227</v>
      </c>
      <c r="I3461" s="183" t="s">
        <v>1011</v>
      </c>
      <c r="J3461" s="183" t="s">
        <v>12091</v>
      </c>
      <c r="K3461">
        <v>0</v>
      </c>
      <c r="L3461">
        <v>44</v>
      </c>
    </row>
    <row r="3462" spans="1:12">
      <c r="A3462" s="183" t="s">
        <v>444</v>
      </c>
      <c r="B3462" s="183" t="s">
        <v>1165</v>
      </c>
      <c r="C3462">
        <v>15880202</v>
      </c>
      <c r="D3462">
        <v>197</v>
      </c>
      <c r="E3462">
        <v>0</v>
      </c>
      <c r="F3462">
        <v>733</v>
      </c>
      <c r="G3462">
        <v>0</v>
      </c>
      <c r="H3462">
        <v>930</v>
      </c>
      <c r="I3462" s="183" t="s">
        <v>1166</v>
      </c>
      <c r="J3462" s="183" t="s">
        <v>12081</v>
      </c>
      <c r="K3462">
        <v>0</v>
      </c>
      <c r="L3462">
        <v>197</v>
      </c>
    </row>
    <row r="3463" spans="1:12">
      <c r="A3463" s="183" t="s">
        <v>4855</v>
      </c>
      <c r="B3463" s="183" t="s">
        <v>1165</v>
      </c>
      <c r="C3463">
        <v>15880204</v>
      </c>
      <c r="D3463">
        <v>34</v>
      </c>
      <c r="E3463">
        <v>0</v>
      </c>
      <c r="F3463">
        <v>175</v>
      </c>
      <c r="G3463">
        <v>0</v>
      </c>
      <c r="H3463">
        <v>209</v>
      </c>
      <c r="I3463" s="183" t="s">
        <v>1166</v>
      </c>
      <c r="J3463" s="183" t="s">
        <v>12081</v>
      </c>
      <c r="K3463">
        <v>0</v>
      </c>
      <c r="L3463">
        <v>34</v>
      </c>
    </row>
    <row r="3464" spans="1:12">
      <c r="A3464" s="183" t="s">
        <v>447</v>
      </c>
      <c r="B3464" s="183" t="s">
        <v>1165</v>
      </c>
      <c r="C3464">
        <v>15880206</v>
      </c>
      <c r="D3464">
        <v>4</v>
      </c>
      <c r="E3464">
        <v>0</v>
      </c>
      <c r="F3464">
        <v>461</v>
      </c>
      <c r="G3464">
        <v>0</v>
      </c>
      <c r="H3464">
        <v>465</v>
      </c>
      <c r="I3464" s="183" t="s">
        <v>1166</v>
      </c>
      <c r="J3464" s="183" t="s">
        <v>12091</v>
      </c>
      <c r="K3464">
        <v>0</v>
      </c>
      <c r="L3464">
        <v>4</v>
      </c>
    </row>
    <row r="3465" spans="1:12">
      <c r="A3465" s="183" t="s">
        <v>460</v>
      </c>
      <c r="B3465" s="183" t="s">
        <v>1165</v>
      </c>
      <c r="C3465">
        <v>15880220</v>
      </c>
      <c r="D3465">
        <v>45</v>
      </c>
      <c r="E3465">
        <v>0</v>
      </c>
      <c r="F3465">
        <v>790</v>
      </c>
      <c r="G3465">
        <v>0</v>
      </c>
      <c r="H3465">
        <v>835</v>
      </c>
      <c r="I3465" s="183" t="s">
        <v>1166</v>
      </c>
      <c r="J3465" s="183" t="s">
        <v>12048</v>
      </c>
      <c r="K3465">
        <v>0</v>
      </c>
      <c r="L3465">
        <v>45</v>
      </c>
    </row>
    <row r="3466" spans="1:12">
      <c r="A3466" s="183" t="s">
        <v>476</v>
      </c>
      <c r="B3466" s="183" t="s">
        <v>1111</v>
      </c>
      <c r="C3466">
        <v>16920204</v>
      </c>
      <c r="D3466">
        <v>123</v>
      </c>
      <c r="E3466">
        <v>0</v>
      </c>
      <c r="F3466">
        <v>0</v>
      </c>
      <c r="G3466">
        <v>0</v>
      </c>
      <c r="H3466">
        <v>123</v>
      </c>
      <c r="I3466" s="183" t="s">
        <v>996</v>
      </c>
      <c r="J3466" s="183" t="s">
        <v>12092</v>
      </c>
      <c r="K3466">
        <v>0</v>
      </c>
      <c r="L3466">
        <v>123</v>
      </c>
    </row>
    <row r="3467" spans="1:12">
      <c r="A3467" s="183" t="s">
        <v>485</v>
      </c>
      <c r="B3467" s="183" t="s">
        <v>1077</v>
      </c>
      <c r="C3467">
        <v>16920220</v>
      </c>
      <c r="D3467">
        <v>83</v>
      </c>
      <c r="E3467">
        <v>0</v>
      </c>
      <c r="F3467">
        <v>1</v>
      </c>
      <c r="G3467">
        <v>0</v>
      </c>
      <c r="H3467">
        <v>84</v>
      </c>
      <c r="I3467" s="183" t="s">
        <v>996</v>
      </c>
      <c r="J3467" s="183" t="s">
        <v>12091</v>
      </c>
      <c r="K3467">
        <v>0</v>
      </c>
      <c r="L3467">
        <v>83</v>
      </c>
    </row>
    <row r="3468" spans="1:12">
      <c r="A3468" s="183" t="s">
        <v>498</v>
      </c>
      <c r="B3468" s="183" t="s">
        <v>1018</v>
      </c>
      <c r="C3468">
        <v>30010206</v>
      </c>
      <c r="D3468">
        <v>34</v>
      </c>
      <c r="E3468">
        <v>0</v>
      </c>
      <c r="F3468">
        <v>65</v>
      </c>
      <c r="G3468">
        <v>0</v>
      </c>
      <c r="H3468">
        <v>99</v>
      </c>
      <c r="I3468" s="183" t="s">
        <v>1019</v>
      </c>
      <c r="J3468" s="183" t="s">
        <v>12061</v>
      </c>
      <c r="K3468">
        <v>0</v>
      </c>
      <c r="L3468">
        <v>34</v>
      </c>
    </row>
    <row r="3469" spans="1:12">
      <c r="A3469" s="183" t="s">
        <v>518</v>
      </c>
      <c r="B3469" s="183" t="s">
        <v>991</v>
      </c>
      <c r="C3469">
        <v>30020203</v>
      </c>
      <c r="D3469">
        <v>89</v>
      </c>
      <c r="E3469">
        <v>0</v>
      </c>
      <c r="F3469">
        <v>29</v>
      </c>
      <c r="G3469">
        <v>0</v>
      </c>
      <c r="H3469">
        <v>118</v>
      </c>
      <c r="I3469" s="183" t="s">
        <v>992</v>
      </c>
      <c r="J3469" s="183" t="s">
        <v>12063</v>
      </c>
      <c r="K3469">
        <v>0</v>
      </c>
      <c r="L3469">
        <v>89</v>
      </c>
    </row>
    <row r="3470" spans="1:12">
      <c r="A3470" s="183" t="s">
        <v>522</v>
      </c>
      <c r="B3470" s="183" t="s">
        <v>991</v>
      </c>
      <c r="C3470">
        <v>30020208</v>
      </c>
      <c r="D3470">
        <v>134</v>
      </c>
      <c r="E3470">
        <v>0</v>
      </c>
      <c r="F3470">
        <v>14</v>
      </c>
      <c r="G3470">
        <v>0</v>
      </c>
      <c r="H3470">
        <v>148</v>
      </c>
      <c r="I3470" s="183" t="s">
        <v>992</v>
      </c>
      <c r="J3470" s="183" t="s">
        <v>12081</v>
      </c>
      <c r="K3470">
        <v>0</v>
      </c>
      <c r="L3470">
        <v>134</v>
      </c>
    </row>
    <row r="3471" spans="1:12">
      <c r="A3471" s="183" t="s">
        <v>3772</v>
      </c>
      <c r="B3471" s="183" t="s">
        <v>991</v>
      </c>
      <c r="C3471">
        <v>30020220</v>
      </c>
      <c r="D3471">
        <v>79</v>
      </c>
      <c r="E3471">
        <v>0</v>
      </c>
      <c r="F3471">
        <v>58</v>
      </c>
      <c r="G3471">
        <v>0</v>
      </c>
      <c r="H3471">
        <v>137</v>
      </c>
      <c r="I3471" s="183" t="s">
        <v>992</v>
      </c>
      <c r="J3471" s="183" t="s">
        <v>12056</v>
      </c>
      <c r="K3471">
        <v>0</v>
      </c>
      <c r="L3471">
        <v>79</v>
      </c>
    </row>
    <row r="3472" spans="1:12">
      <c r="A3472" s="183" t="s">
        <v>539</v>
      </c>
      <c r="B3472" s="183" t="s">
        <v>991</v>
      </c>
      <c r="C3472">
        <v>30020234</v>
      </c>
      <c r="D3472">
        <v>92</v>
      </c>
      <c r="E3472">
        <v>0</v>
      </c>
      <c r="F3472">
        <v>0</v>
      </c>
      <c r="G3472">
        <v>0</v>
      </c>
      <c r="H3472">
        <v>92</v>
      </c>
      <c r="I3472" s="183" t="s">
        <v>992</v>
      </c>
      <c r="J3472" s="183" t="s">
        <v>12052</v>
      </c>
      <c r="K3472">
        <v>0</v>
      </c>
      <c r="L3472">
        <v>92</v>
      </c>
    </row>
    <row r="3473" spans="1:12">
      <c r="A3473" s="183" t="s">
        <v>540</v>
      </c>
      <c r="B3473" s="183" t="s">
        <v>991</v>
      </c>
      <c r="C3473">
        <v>30020240</v>
      </c>
      <c r="D3473">
        <v>93</v>
      </c>
      <c r="E3473">
        <v>0</v>
      </c>
      <c r="F3473">
        <v>0</v>
      </c>
      <c r="G3473">
        <v>0</v>
      </c>
      <c r="H3473">
        <v>93</v>
      </c>
      <c r="I3473" s="183" t="s">
        <v>992</v>
      </c>
      <c r="J3473" s="183" t="s">
        <v>12053</v>
      </c>
      <c r="K3473">
        <v>0</v>
      </c>
      <c r="L3473">
        <v>93</v>
      </c>
    </row>
    <row r="3474" spans="1:12">
      <c r="A3474" s="183" t="s">
        <v>3825</v>
      </c>
      <c r="B3474" s="183" t="s">
        <v>1048</v>
      </c>
      <c r="C3474">
        <v>33010206</v>
      </c>
      <c r="D3474">
        <v>48</v>
      </c>
      <c r="E3474">
        <v>0</v>
      </c>
      <c r="F3474">
        <v>0</v>
      </c>
      <c r="G3474">
        <v>0</v>
      </c>
      <c r="H3474">
        <v>48</v>
      </c>
      <c r="I3474" s="183" t="s">
        <v>1049</v>
      </c>
      <c r="J3474" s="183" t="s">
        <v>12054</v>
      </c>
      <c r="K3474">
        <v>0</v>
      </c>
      <c r="L3474">
        <v>48</v>
      </c>
    </row>
    <row r="3475" spans="1:12">
      <c r="A3475" s="183" t="s">
        <v>4175</v>
      </c>
      <c r="B3475" s="183" t="s">
        <v>1048</v>
      </c>
      <c r="C3475">
        <v>33010210</v>
      </c>
      <c r="D3475">
        <v>37</v>
      </c>
      <c r="E3475">
        <v>0</v>
      </c>
      <c r="F3475">
        <v>0</v>
      </c>
      <c r="G3475">
        <v>0</v>
      </c>
      <c r="H3475">
        <v>37</v>
      </c>
      <c r="I3475" s="183" t="s">
        <v>1049</v>
      </c>
      <c r="J3475" s="183" t="s">
        <v>12063</v>
      </c>
      <c r="K3475">
        <v>0</v>
      </c>
      <c r="L3475">
        <v>37</v>
      </c>
    </row>
    <row r="3476" spans="1:12">
      <c r="A3476" s="183" t="s">
        <v>3882</v>
      </c>
      <c r="B3476" s="183" t="s">
        <v>1048</v>
      </c>
      <c r="C3476">
        <v>33010215</v>
      </c>
      <c r="D3476">
        <v>72</v>
      </c>
      <c r="E3476">
        <v>0</v>
      </c>
      <c r="F3476">
        <v>0</v>
      </c>
      <c r="G3476">
        <v>0</v>
      </c>
      <c r="H3476">
        <v>72</v>
      </c>
      <c r="I3476" s="183" t="s">
        <v>1049</v>
      </c>
      <c r="J3476" s="183" t="s">
        <v>12061</v>
      </c>
      <c r="K3476">
        <v>0</v>
      </c>
      <c r="L3476">
        <v>72</v>
      </c>
    </row>
    <row r="3477" spans="1:12">
      <c r="A3477" s="183" t="s">
        <v>3828</v>
      </c>
      <c r="B3477" s="183" t="s">
        <v>1048</v>
      </c>
      <c r="C3477">
        <v>33010217</v>
      </c>
      <c r="D3477">
        <v>61</v>
      </c>
      <c r="E3477">
        <v>0</v>
      </c>
      <c r="F3477">
        <v>0</v>
      </c>
      <c r="G3477">
        <v>0</v>
      </c>
      <c r="H3477">
        <v>61</v>
      </c>
      <c r="I3477" s="183" t="s">
        <v>1049</v>
      </c>
      <c r="J3477" s="183" t="s">
        <v>12067</v>
      </c>
      <c r="K3477">
        <v>0</v>
      </c>
      <c r="L3477">
        <v>61</v>
      </c>
    </row>
    <row r="3478" spans="1:12">
      <c r="A3478" s="183" t="s">
        <v>3835</v>
      </c>
      <c r="B3478" s="183" t="s">
        <v>1048</v>
      </c>
      <c r="C3478">
        <v>33010219</v>
      </c>
      <c r="D3478">
        <v>72</v>
      </c>
      <c r="E3478">
        <v>0</v>
      </c>
      <c r="F3478">
        <v>0</v>
      </c>
      <c r="G3478">
        <v>0</v>
      </c>
      <c r="H3478">
        <v>72</v>
      </c>
      <c r="I3478" s="183" t="s">
        <v>1049</v>
      </c>
      <c r="J3478" s="183" t="s">
        <v>12058</v>
      </c>
      <c r="K3478">
        <v>0</v>
      </c>
      <c r="L3478">
        <v>72</v>
      </c>
    </row>
    <row r="3479" spans="1:12">
      <c r="A3479" s="183" t="s">
        <v>4491</v>
      </c>
      <c r="B3479" s="183" t="s">
        <v>1056</v>
      </c>
      <c r="C3479">
        <v>33020207</v>
      </c>
      <c r="D3479">
        <v>32</v>
      </c>
      <c r="E3479">
        <v>0</v>
      </c>
      <c r="F3479">
        <v>5</v>
      </c>
      <c r="G3479">
        <v>0</v>
      </c>
      <c r="H3479">
        <v>37</v>
      </c>
      <c r="I3479" s="183" t="s">
        <v>1057</v>
      </c>
      <c r="J3479" s="183" t="s">
        <v>12061</v>
      </c>
      <c r="K3479">
        <v>0</v>
      </c>
      <c r="L3479">
        <v>32</v>
      </c>
    </row>
    <row r="3480" spans="1:12">
      <c r="A3480" s="183" t="s">
        <v>4172</v>
      </c>
      <c r="B3480" s="183" t="s">
        <v>1056</v>
      </c>
      <c r="C3480">
        <v>33020209</v>
      </c>
      <c r="D3480">
        <v>69</v>
      </c>
      <c r="E3480">
        <v>0</v>
      </c>
      <c r="F3480">
        <v>5</v>
      </c>
      <c r="G3480">
        <v>0</v>
      </c>
      <c r="H3480">
        <v>74</v>
      </c>
      <c r="I3480" s="183" t="s">
        <v>1057</v>
      </c>
      <c r="J3480" s="183" t="s">
        <v>12058</v>
      </c>
      <c r="K3480">
        <v>0</v>
      </c>
      <c r="L3480">
        <v>69</v>
      </c>
    </row>
    <row r="3481" spans="1:12">
      <c r="A3481" s="183" t="s">
        <v>3834</v>
      </c>
      <c r="B3481" s="183" t="s">
        <v>1056</v>
      </c>
      <c r="C3481">
        <v>33020212</v>
      </c>
      <c r="D3481">
        <v>22</v>
      </c>
      <c r="E3481">
        <v>0</v>
      </c>
      <c r="F3481">
        <v>1</v>
      </c>
      <c r="G3481">
        <v>0</v>
      </c>
      <c r="H3481">
        <v>23</v>
      </c>
      <c r="I3481" s="183" t="s">
        <v>1057</v>
      </c>
      <c r="J3481" s="183" t="s">
        <v>12067</v>
      </c>
      <c r="K3481">
        <v>0</v>
      </c>
      <c r="L3481">
        <v>22</v>
      </c>
    </row>
    <row r="3482" spans="1:12">
      <c r="A3482" s="183" t="s">
        <v>7528</v>
      </c>
      <c r="B3482" s="183" t="s">
        <v>1056</v>
      </c>
      <c r="C3482">
        <v>33020221</v>
      </c>
      <c r="D3482">
        <v>24</v>
      </c>
      <c r="E3482">
        <v>0</v>
      </c>
      <c r="F3482">
        <v>0</v>
      </c>
      <c r="G3482">
        <v>0</v>
      </c>
      <c r="H3482">
        <v>24</v>
      </c>
      <c r="I3482" s="183" t="s">
        <v>1057</v>
      </c>
      <c r="J3482" s="183" t="s">
        <v>12048</v>
      </c>
      <c r="K3482">
        <v>0</v>
      </c>
      <c r="L3482">
        <v>24</v>
      </c>
    </row>
    <row r="3483" spans="1:12">
      <c r="A3483" s="183" t="s">
        <v>554</v>
      </c>
      <c r="B3483" s="183" t="s">
        <v>1056</v>
      </c>
      <c r="C3483">
        <v>33020226</v>
      </c>
      <c r="D3483">
        <v>128</v>
      </c>
      <c r="E3483">
        <v>0</v>
      </c>
      <c r="F3483">
        <v>0</v>
      </c>
      <c r="G3483">
        <v>0</v>
      </c>
      <c r="H3483">
        <v>128</v>
      </c>
      <c r="I3483" s="183" t="s">
        <v>1057</v>
      </c>
      <c r="J3483" s="183" t="s">
        <v>12053</v>
      </c>
      <c r="K3483">
        <v>0</v>
      </c>
      <c r="L3483">
        <v>128</v>
      </c>
    </row>
    <row r="3484" spans="1:12">
      <c r="A3484" s="183" t="s">
        <v>3776</v>
      </c>
      <c r="B3484" s="183" t="s">
        <v>1056</v>
      </c>
      <c r="C3484">
        <v>33020228</v>
      </c>
      <c r="D3484">
        <v>57</v>
      </c>
      <c r="E3484">
        <v>0</v>
      </c>
      <c r="F3484">
        <v>22</v>
      </c>
      <c r="G3484">
        <v>0</v>
      </c>
      <c r="H3484">
        <v>79</v>
      </c>
      <c r="I3484" s="183" t="s">
        <v>1057</v>
      </c>
      <c r="J3484" s="183" t="s">
        <v>12050</v>
      </c>
      <c r="K3484">
        <v>0</v>
      </c>
      <c r="L3484">
        <v>57</v>
      </c>
    </row>
    <row r="3485" spans="1:12">
      <c r="A3485" s="183" t="s">
        <v>556</v>
      </c>
      <c r="B3485" s="183" t="s">
        <v>1056</v>
      </c>
      <c r="C3485">
        <v>33020232</v>
      </c>
      <c r="D3485">
        <v>55</v>
      </c>
      <c r="E3485">
        <v>0</v>
      </c>
      <c r="F3485">
        <v>0</v>
      </c>
      <c r="G3485">
        <v>0</v>
      </c>
      <c r="H3485">
        <v>55</v>
      </c>
      <c r="I3485" s="183" t="s">
        <v>1057</v>
      </c>
      <c r="J3485" s="183" t="s">
        <v>12053</v>
      </c>
      <c r="K3485">
        <v>0</v>
      </c>
      <c r="L3485">
        <v>55</v>
      </c>
    </row>
    <row r="3486" spans="1:12">
      <c r="A3486" s="183" t="s">
        <v>3547</v>
      </c>
      <c r="B3486" s="183" t="s">
        <v>1003</v>
      </c>
      <c r="C3486">
        <v>33040204</v>
      </c>
      <c r="D3486">
        <v>47</v>
      </c>
      <c r="E3486">
        <v>0</v>
      </c>
      <c r="F3486">
        <v>12</v>
      </c>
      <c r="G3486">
        <v>0</v>
      </c>
      <c r="H3486">
        <v>59</v>
      </c>
      <c r="I3486" s="183" t="s">
        <v>1004</v>
      </c>
      <c r="J3486" s="183" t="s">
        <v>12059</v>
      </c>
      <c r="K3486">
        <v>0</v>
      </c>
      <c r="L3486">
        <v>47</v>
      </c>
    </row>
    <row r="3487" spans="1:12">
      <c r="A3487" s="183" t="s">
        <v>564</v>
      </c>
      <c r="B3487" s="183" t="s">
        <v>1003</v>
      </c>
      <c r="C3487">
        <v>33040219</v>
      </c>
      <c r="D3487">
        <v>32</v>
      </c>
      <c r="E3487">
        <v>0</v>
      </c>
      <c r="F3487">
        <v>9</v>
      </c>
      <c r="G3487">
        <v>0</v>
      </c>
      <c r="H3487">
        <v>41</v>
      </c>
      <c r="I3487" s="183" t="s">
        <v>1004</v>
      </c>
      <c r="J3487" s="183" t="s">
        <v>12059</v>
      </c>
      <c r="K3487">
        <v>0</v>
      </c>
      <c r="L3487">
        <v>32</v>
      </c>
    </row>
    <row r="3488" spans="1:12">
      <c r="A3488" s="183" t="s">
        <v>3535</v>
      </c>
      <c r="B3488" s="183" t="s">
        <v>1018</v>
      </c>
      <c r="C3488">
        <v>30010212</v>
      </c>
      <c r="D3488">
        <v>38</v>
      </c>
      <c r="E3488">
        <v>0</v>
      </c>
      <c r="F3488">
        <v>5</v>
      </c>
      <c r="G3488">
        <v>0</v>
      </c>
      <c r="H3488">
        <v>43</v>
      </c>
      <c r="I3488" s="183" t="s">
        <v>1019</v>
      </c>
      <c r="J3488" s="183" t="s">
        <v>12060</v>
      </c>
      <c r="K3488">
        <v>0</v>
      </c>
      <c r="L3488">
        <v>38</v>
      </c>
    </row>
    <row r="3489" spans="1:12">
      <c r="A3489" s="183" t="s">
        <v>512</v>
      </c>
      <c r="B3489" s="183" t="s">
        <v>1018</v>
      </c>
      <c r="C3489">
        <v>30010224</v>
      </c>
      <c r="D3489">
        <v>47</v>
      </c>
      <c r="E3489">
        <v>0</v>
      </c>
      <c r="F3489">
        <v>0</v>
      </c>
      <c r="G3489">
        <v>0</v>
      </c>
      <c r="H3489">
        <v>47</v>
      </c>
      <c r="I3489" s="183" t="s">
        <v>1019</v>
      </c>
      <c r="J3489" s="183" t="s">
        <v>12085</v>
      </c>
      <c r="K3489">
        <v>0</v>
      </c>
      <c r="L3489">
        <v>47</v>
      </c>
    </row>
    <row r="3490" spans="1:12">
      <c r="A3490" s="183" t="s">
        <v>737</v>
      </c>
      <c r="B3490" s="183" t="s">
        <v>991</v>
      </c>
      <c r="C3490">
        <v>30020205</v>
      </c>
      <c r="D3490">
        <v>130</v>
      </c>
      <c r="E3490">
        <v>0</v>
      </c>
      <c r="F3490">
        <v>0</v>
      </c>
      <c r="G3490">
        <v>0</v>
      </c>
      <c r="H3490">
        <v>130</v>
      </c>
      <c r="I3490" s="183" t="s">
        <v>992</v>
      </c>
      <c r="J3490" s="183" t="s">
        <v>12094</v>
      </c>
      <c r="K3490">
        <v>0</v>
      </c>
      <c r="L3490">
        <v>130</v>
      </c>
    </row>
    <row r="3491" spans="1:12">
      <c r="A3491" s="183" t="s">
        <v>7549</v>
      </c>
      <c r="B3491" s="183" t="s">
        <v>1048</v>
      </c>
      <c r="C3491">
        <v>33010213</v>
      </c>
      <c r="D3491">
        <v>26</v>
      </c>
      <c r="E3491">
        <v>0</v>
      </c>
      <c r="F3491">
        <v>0</v>
      </c>
      <c r="G3491">
        <v>0</v>
      </c>
      <c r="H3491">
        <v>26</v>
      </c>
      <c r="I3491" s="183" t="s">
        <v>1049</v>
      </c>
      <c r="J3491" s="183" t="s">
        <v>12094</v>
      </c>
      <c r="K3491">
        <v>0</v>
      </c>
      <c r="L3491">
        <v>26</v>
      </c>
    </row>
    <row r="3492" spans="1:12">
      <c r="A3492" s="183" t="s">
        <v>3836</v>
      </c>
      <c r="B3492" s="183" t="s">
        <v>1048</v>
      </c>
      <c r="C3492">
        <v>33010218</v>
      </c>
      <c r="D3492">
        <v>95</v>
      </c>
      <c r="E3492">
        <v>0</v>
      </c>
      <c r="F3492">
        <v>0</v>
      </c>
      <c r="G3492">
        <v>0</v>
      </c>
      <c r="H3492">
        <v>95</v>
      </c>
      <c r="I3492" s="183" t="s">
        <v>1049</v>
      </c>
      <c r="J3492" s="183" t="s">
        <v>12091</v>
      </c>
      <c r="K3492">
        <v>0</v>
      </c>
      <c r="L3492">
        <v>95</v>
      </c>
    </row>
    <row r="3493" spans="1:12">
      <c r="A3493" s="183" t="s">
        <v>549</v>
      </c>
      <c r="B3493" s="183" t="s">
        <v>1048</v>
      </c>
      <c r="C3493">
        <v>33010238</v>
      </c>
      <c r="D3493">
        <v>89</v>
      </c>
      <c r="E3493">
        <v>0</v>
      </c>
      <c r="F3493">
        <v>4</v>
      </c>
      <c r="G3493">
        <v>0</v>
      </c>
      <c r="H3493">
        <v>93</v>
      </c>
      <c r="I3493" s="183" t="s">
        <v>1049</v>
      </c>
      <c r="J3493" s="183" t="s">
        <v>12092</v>
      </c>
      <c r="K3493">
        <v>0</v>
      </c>
      <c r="L3493">
        <v>89</v>
      </c>
    </row>
    <row r="3494" spans="1:12">
      <c r="A3494" s="183" t="s">
        <v>551</v>
      </c>
      <c r="B3494" s="183" t="s">
        <v>1056</v>
      </c>
      <c r="C3494">
        <v>33020203</v>
      </c>
      <c r="D3494">
        <v>32</v>
      </c>
      <c r="E3494">
        <v>0</v>
      </c>
      <c r="F3494">
        <v>49</v>
      </c>
      <c r="G3494">
        <v>0</v>
      </c>
      <c r="H3494">
        <v>81</v>
      </c>
      <c r="I3494" s="183" t="s">
        <v>1057</v>
      </c>
      <c r="J3494" s="183" t="s">
        <v>12053</v>
      </c>
      <c r="K3494">
        <v>0</v>
      </c>
      <c r="L3494">
        <v>32</v>
      </c>
    </row>
    <row r="3495" spans="1:12">
      <c r="A3495" s="183" t="s">
        <v>3770</v>
      </c>
      <c r="B3495" s="183" t="s">
        <v>1056</v>
      </c>
      <c r="C3495">
        <v>33020206</v>
      </c>
      <c r="D3495">
        <v>27</v>
      </c>
      <c r="E3495">
        <v>0</v>
      </c>
      <c r="F3495">
        <v>28</v>
      </c>
      <c r="G3495">
        <v>0</v>
      </c>
      <c r="H3495">
        <v>55</v>
      </c>
      <c r="I3495" s="183" t="s">
        <v>1057</v>
      </c>
      <c r="J3495" s="183" t="s">
        <v>12060</v>
      </c>
      <c r="K3495">
        <v>0</v>
      </c>
      <c r="L3495">
        <v>27</v>
      </c>
    </row>
    <row r="3496" spans="1:12">
      <c r="A3496" s="183" t="s">
        <v>3540</v>
      </c>
      <c r="B3496" s="183" t="s">
        <v>1056</v>
      </c>
      <c r="C3496">
        <v>33020210</v>
      </c>
      <c r="D3496">
        <v>68</v>
      </c>
      <c r="E3496">
        <v>0</v>
      </c>
      <c r="F3496">
        <v>16</v>
      </c>
      <c r="G3496">
        <v>0</v>
      </c>
      <c r="H3496">
        <v>84</v>
      </c>
      <c r="I3496" s="183" t="s">
        <v>1057</v>
      </c>
      <c r="J3496" s="183" t="s">
        <v>12059</v>
      </c>
      <c r="K3496">
        <v>0</v>
      </c>
      <c r="L3496">
        <v>68</v>
      </c>
    </row>
    <row r="3497" spans="1:12">
      <c r="A3497" s="183" t="s">
        <v>3536</v>
      </c>
      <c r="B3497" s="183" t="s">
        <v>1056</v>
      </c>
      <c r="C3497">
        <v>33020214</v>
      </c>
      <c r="D3497">
        <v>47</v>
      </c>
      <c r="E3497">
        <v>0</v>
      </c>
      <c r="F3497">
        <v>1</v>
      </c>
      <c r="G3497">
        <v>0</v>
      </c>
      <c r="H3497">
        <v>48</v>
      </c>
      <c r="I3497" s="183" t="s">
        <v>1057</v>
      </c>
      <c r="J3497" s="183" t="s">
        <v>12061</v>
      </c>
      <c r="K3497">
        <v>0</v>
      </c>
      <c r="L3497">
        <v>47</v>
      </c>
    </row>
    <row r="3498" spans="1:12">
      <c r="A3498" s="183" t="s">
        <v>3886</v>
      </c>
      <c r="B3498" s="183" t="s">
        <v>1056</v>
      </c>
      <c r="C3498">
        <v>33020215</v>
      </c>
      <c r="D3498">
        <v>34</v>
      </c>
      <c r="E3498">
        <v>0</v>
      </c>
      <c r="F3498">
        <v>8</v>
      </c>
      <c r="G3498">
        <v>0</v>
      </c>
      <c r="H3498">
        <v>42</v>
      </c>
      <c r="I3498" s="183" t="s">
        <v>1057</v>
      </c>
      <c r="J3498" s="183" t="s">
        <v>12059</v>
      </c>
      <c r="K3498">
        <v>0</v>
      </c>
      <c r="L3498">
        <v>34</v>
      </c>
    </row>
    <row r="3499" spans="1:12">
      <c r="A3499" s="183" t="s">
        <v>3537</v>
      </c>
      <c r="B3499" s="183" t="s">
        <v>1056</v>
      </c>
      <c r="C3499">
        <v>33020217</v>
      </c>
      <c r="D3499">
        <v>79</v>
      </c>
      <c r="E3499">
        <v>0</v>
      </c>
      <c r="F3499">
        <v>31</v>
      </c>
      <c r="G3499">
        <v>0</v>
      </c>
      <c r="H3499">
        <v>110</v>
      </c>
      <c r="I3499" s="183" t="s">
        <v>1057</v>
      </c>
      <c r="J3499" s="183" t="s">
        <v>12059</v>
      </c>
      <c r="K3499">
        <v>0</v>
      </c>
      <c r="L3499">
        <v>79</v>
      </c>
    </row>
    <row r="3500" spans="1:12">
      <c r="A3500" s="183" t="s">
        <v>2953</v>
      </c>
      <c r="B3500" s="183" t="s">
        <v>1056</v>
      </c>
      <c r="C3500">
        <v>33020219</v>
      </c>
      <c r="D3500">
        <v>123</v>
      </c>
      <c r="E3500">
        <v>0</v>
      </c>
      <c r="F3500">
        <v>6</v>
      </c>
      <c r="G3500">
        <v>0</v>
      </c>
      <c r="H3500">
        <v>129</v>
      </c>
      <c r="I3500" s="183" t="s">
        <v>1057</v>
      </c>
      <c r="J3500" s="183" t="s">
        <v>12094</v>
      </c>
      <c r="K3500">
        <v>0</v>
      </c>
      <c r="L3500">
        <v>123</v>
      </c>
    </row>
    <row r="3501" spans="1:12">
      <c r="A3501" s="183" t="s">
        <v>557</v>
      </c>
      <c r="B3501" s="183" t="s">
        <v>1056</v>
      </c>
      <c r="C3501">
        <v>33020234</v>
      </c>
      <c r="D3501">
        <v>79</v>
      </c>
      <c r="E3501">
        <v>0</v>
      </c>
      <c r="F3501">
        <v>0</v>
      </c>
      <c r="G3501">
        <v>0</v>
      </c>
      <c r="H3501">
        <v>79</v>
      </c>
      <c r="I3501" s="183" t="s">
        <v>1057</v>
      </c>
      <c r="J3501" s="183" t="s">
        <v>12092</v>
      </c>
      <c r="K3501">
        <v>0</v>
      </c>
      <c r="L3501">
        <v>79</v>
      </c>
    </row>
    <row r="3502" spans="1:12">
      <c r="A3502" s="183" t="s">
        <v>562</v>
      </c>
      <c r="B3502" s="183" t="s">
        <v>1003</v>
      </c>
      <c r="C3502">
        <v>33040208</v>
      </c>
      <c r="D3502">
        <v>59</v>
      </c>
      <c r="E3502">
        <v>0</v>
      </c>
      <c r="F3502">
        <v>6</v>
      </c>
      <c r="G3502">
        <v>0</v>
      </c>
      <c r="H3502">
        <v>65</v>
      </c>
      <c r="I3502" s="183" t="s">
        <v>1004</v>
      </c>
      <c r="J3502" s="183" t="s">
        <v>12095</v>
      </c>
      <c r="K3502">
        <v>0</v>
      </c>
      <c r="L3502">
        <v>59</v>
      </c>
    </row>
    <row r="3503" spans="1:12">
      <c r="A3503" s="183" t="s">
        <v>3771</v>
      </c>
      <c r="B3503" s="183" t="s">
        <v>1003</v>
      </c>
      <c r="C3503">
        <v>33040213</v>
      </c>
      <c r="D3503">
        <v>33</v>
      </c>
      <c r="E3503">
        <v>0</v>
      </c>
      <c r="F3503">
        <v>6</v>
      </c>
      <c r="G3503">
        <v>0</v>
      </c>
      <c r="H3503">
        <v>39</v>
      </c>
      <c r="I3503" s="183" t="s">
        <v>1004</v>
      </c>
      <c r="J3503" s="183" t="s">
        <v>12087</v>
      </c>
      <c r="K3503">
        <v>0</v>
      </c>
      <c r="L3503">
        <v>33</v>
      </c>
    </row>
    <row r="3504" spans="1:12">
      <c r="A3504" s="183" t="s">
        <v>566</v>
      </c>
      <c r="B3504" s="183" t="s">
        <v>1003</v>
      </c>
      <c r="C3504">
        <v>33040224</v>
      </c>
      <c r="D3504">
        <v>70</v>
      </c>
      <c r="E3504">
        <v>0</v>
      </c>
      <c r="F3504">
        <v>6</v>
      </c>
      <c r="G3504">
        <v>0</v>
      </c>
      <c r="H3504">
        <v>76</v>
      </c>
      <c r="I3504" s="183" t="s">
        <v>1004</v>
      </c>
      <c r="J3504" s="183" t="s">
        <v>12061</v>
      </c>
      <c r="K3504">
        <v>0</v>
      </c>
      <c r="L3504">
        <v>70</v>
      </c>
    </row>
    <row r="3505" spans="1:12">
      <c r="A3505" s="183" t="s">
        <v>568</v>
      </c>
      <c r="B3505" s="183" t="s">
        <v>1003</v>
      </c>
      <c r="C3505">
        <v>33040228</v>
      </c>
      <c r="D3505">
        <v>25</v>
      </c>
      <c r="E3505">
        <v>0</v>
      </c>
      <c r="F3505">
        <v>4</v>
      </c>
      <c r="G3505">
        <v>0</v>
      </c>
      <c r="H3505">
        <v>29</v>
      </c>
      <c r="I3505" s="183" t="s">
        <v>1004</v>
      </c>
      <c r="J3505" s="183" t="s">
        <v>12094</v>
      </c>
      <c r="K3505">
        <v>0</v>
      </c>
      <c r="L3505">
        <v>25</v>
      </c>
    </row>
    <row r="3506" spans="1:12">
      <c r="A3506" s="183" t="s">
        <v>570</v>
      </c>
      <c r="B3506" s="183" t="s">
        <v>1003</v>
      </c>
      <c r="C3506">
        <v>33040232</v>
      </c>
      <c r="D3506">
        <v>39</v>
      </c>
      <c r="E3506">
        <v>0</v>
      </c>
      <c r="F3506">
        <v>0</v>
      </c>
      <c r="G3506">
        <v>0</v>
      </c>
      <c r="H3506">
        <v>39</v>
      </c>
      <c r="I3506" s="183" t="s">
        <v>1004</v>
      </c>
      <c r="J3506" s="183" t="s">
        <v>12054</v>
      </c>
      <c r="K3506">
        <v>0</v>
      </c>
      <c r="L3506">
        <v>39</v>
      </c>
    </row>
    <row r="3507" spans="1:12">
      <c r="A3507" s="183" t="s">
        <v>571</v>
      </c>
      <c r="B3507" s="183" t="s">
        <v>1003</v>
      </c>
      <c r="C3507">
        <v>33040234</v>
      </c>
      <c r="D3507">
        <v>92</v>
      </c>
      <c r="E3507">
        <v>0</v>
      </c>
      <c r="F3507">
        <v>0</v>
      </c>
      <c r="G3507">
        <v>0</v>
      </c>
      <c r="H3507">
        <v>92</v>
      </c>
      <c r="I3507" s="183" t="s">
        <v>1004</v>
      </c>
      <c r="J3507" s="183" t="s">
        <v>12063</v>
      </c>
      <c r="K3507">
        <v>0</v>
      </c>
      <c r="L3507">
        <v>92</v>
      </c>
    </row>
    <row r="3508" spans="1:12">
      <c r="A3508" s="183" t="s">
        <v>4429</v>
      </c>
      <c r="B3508" s="183" t="s">
        <v>4430</v>
      </c>
      <c r="C3508">
        <v>8800269006285</v>
      </c>
      <c r="D3508">
        <v>192</v>
      </c>
      <c r="E3508">
        <v>0</v>
      </c>
      <c r="F3508">
        <v>0</v>
      </c>
      <c r="G3508">
        <v>0</v>
      </c>
      <c r="H3508">
        <v>192</v>
      </c>
      <c r="I3508" s="183" t="s">
        <v>4355</v>
      </c>
      <c r="J3508" s="183" t="s">
        <v>12085</v>
      </c>
      <c r="K3508">
        <v>0</v>
      </c>
      <c r="L3508">
        <v>192</v>
      </c>
    </row>
    <row r="3509" spans="1:12">
      <c r="A3509" s="183" t="s">
        <v>4431</v>
      </c>
      <c r="B3509" s="183" t="s">
        <v>4432</v>
      </c>
      <c r="C3509">
        <v>8800269006339</v>
      </c>
      <c r="D3509">
        <v>234</v>
      </c>
      <c r="E3509">
        <v>0</v>
      </c>
      <c r="F3509">
        <v>0</v>
      </c>
      <c r="G3509">
        <v>0</v>
      </c>
      <c r="H3509">
        <v>234</v>
      </c>
      <c r="I3509" s="183" t="s">
        <v>4355</v>
      </c>
      <c r="J3509" s="183" t="s">
        <v>12087</v>
      </c>
      <c r="K3509">
        <v>0</v>
      </c>
      <c r="L3509">
        <v>234</v>
      </c>
    </row>
    <row r="3510" spans="1:12">
      <c r="A3510" s="183" t="s">
        <v>4433</v>
      </c>
      <c r="B3510" s="183" t="s">
        <v>4434</v>
      </c>
      <c r="C3510">
        <v>8800269006391</v>
      </c>
      <c r="D3510">
        <v>206</v>
      </c>
      <c r="E3510">
        <v>0</v>
      </c>
      <c r="F3510">
        <v>0</v>
      </c>
      <c r="G3510">
        <v>0</v>
      </c>
      <c r="H3510">
        <v>206</v>
      </c>
      <c r="I3510" s="183" t="s">
        <v>4355</v>
      </c>
      <c r="J3510" s="183" t="s">
        <v>12087</v>
      </c>
      <c r="K3510">
        <v>0</v>
      </c>
      <c r="L3510">
        <v>206</v>
      </c>
    </row>
    <row r="3511" spans="1:12">
      <c r="A3511" s="183" t="s">
        <v>4435</v>
      </c>
      <c r="B3511" s="183" t="s">
        <v>4436</v>
      </c>
      <c r="C3511">
        <v>8800269006421</v>
      </c>
      <c r="D3511">
        <v>271</v>
      </c>
      <c r="E3511">
        <v>0</v>
      </c>
      <c r="F3511">
        <v>0</v>
      </c>
      <c r="G3511">
        <v>0</v>
      </c>
      <c r="H3511">
        <v>271</v>
      </c>
      <c r="I3511" s="183" t="s">
        <v>4355</v>
      </c>
      <c r="J3511" s="183" t="s">
        <v>12087</v>
      </c>
      <c r="K3511">
        <v>0</v>
      </c>
      <c r="L3511">
        <v>271</v>
      </c>
    </row>
    <row r="3512" spans="1:12">
      <c r="A3512" s="183" t="s">
        <v>4437</v>
      </c>
      <c r="B3512" s="183" t="s">
        <v>4438</v>
      </c>
      <c r="C3512">
        <v>8800269006476</v>
      </c>
      <c r="D3512">
        <v>106</v>
      </c>
      <c r="E3512">
        <v>0</v>
      </c>
      <c r="F3512">
        <v>0</v>
      </c>
      <c r="G3512">
        <v>0</v>
      </c>
      <c r="H3512">
        <v>106</v>
      </c>
      <c r="I3512" s="183" t="s">
        <v>4355</v>
      </c>
      <c r="J3512" s="183" t="s">
        <v>12055</v>
      </c>
      <c r="K3512">
        <v>0</v>
      </c>
      <c r="L3512">
        <v>106</v>
      </c>
    </row>
    <row r="3513" spans="1:12">
      <c r="A3513" s="183" t="s">
        <v>4439</v>
      </c>
      <c r="B3513" s="183" t="s">
        <v>4372</v>
      </c>
      <c r="C3513">
        <v>8800269006513</v>
      </c>
      <c r="D3513">
        <v>157</v>
      </c>
      <c r="E3513">
        <v>0</v>
      </c>
      <c r="F3513">
        <v>0</v>
      </c>
      <c r="G3513">
        <v>0</v>
      </c>
      <c r="H3513">
        <v>157</v>
      </c>
      <c r="I3513" s="183" t="s">
        <v>4360</v>
      </c>
      <c r="J3513" s="183" t="s">
        <v>12066</v>
      </c>
      <c r="K3513">
        <v>0</v>
      </c>
      <c r="L3513">
        <v>157</v>
      </c>
    </row>
    <row r="3514" spans="1:12">
      <c r="A3514" s="183" t="s">
        <v>4440</v>
      </c>
      <c r="B3514" s="183" t="s">
        <v>4396</v>
      </c>
      <c r="C3514">
        <v>8800269006568</v>
      </c>
      <c r="D3514">
        <v>146</v>
      </c>
      <c r="E3514">
        <v>0</v>
      </c>
      <c r="F3514">
        <v>0</v>
      </c>
      <c r="G3514">
        <v>0</v>
      </c>
      <c r="H3514">
        <v>146</v>
      </c>
      <c r="I3514" s="183" t="s">
        <v>4360</v>
      </c>
      <c r="J3514" s="183" t="s">
        <v>12066</v>
      </c>
      <c r="K3514">
        <v>0</v>
      </c>
      <c r="L3514">
        <v>146</v>
      </c>
    </row>
    <row r="3515" spans="1:12">
      <c r="A3515" s="183" t="s">
        <v>4441</v>
      </c>
      <c r="B3515" s="183" t="s">
        <v>4364</v>
      </c>
      <c r="C3515">
        <v>8800269006681</v>
      </c>
      <c r="D3515">
        <v>190</v>
      </c>
      <c r="E3515">
        <v>0</v>
      </c>
      <c r="F3515">
        <v>0</v>
      </c>
      <c r="G3515">
        <v>0</v>
      </c>
      <c r="H3515">
        <v>190</v>
      </c>
      <c r="I3515" s="183" t="s">
        <v>4360</v>
      </c>
      <c r="J3515" s="183" t="s">
        <v>12085</v>
      </c>
      <c r="K3515">
        <v>0</v>
      </c>
      <c r="L3515">
        <v>190</v>
      </c>
    </row>
    <row r="3516" spans="1:12">
      <c r="A3516" s="183" t="s">
        <v>4592</v>
      </c>
      <c r="B3516" s="183" t="s">
        <v>4593</v>
      </c>
      <c r="C3516">
        <v>8800269028133</v>
      </c>
      <c r="D3516">
        <v>442</v>
      </c>
      <c r="E3516">
        <v>0</v>
      </c>
      <c r="F3516">
        <v>0</v>
      </c>
      <c r="G3516">
        <v>0</v>
      </c>
      <c r="H3516">
        <v>442</v>
      </c>
      <c r="I3516" s="183" t="s">
        <v>4499</v>
      </c>
      <c r="J3516" s="183" t="s">
        <v>12092</v>
      </c>
      <c r="K3516">
        <v>0</v>
      </c>
      <c r="L3516">
        <v>442</v>
      </c>
    </row>
    <row r="3517" spans="1:12">
      <c r="A3517" s="183" t="s">
        <v>4594</v>
      </c>
      <c r="B3517" s="183" t="s">
        <v>4595</v>
      </c>
      <c r="C3517">
        <v>8800269028201</v>
      </c>
      <c r="D3517">
        <v>441</v>
      </c>
      <c r="E3517">
        <v>0</v>
      </c>
      <c r="F3517">
        <v>0</v>
      </c>
      <c r="G3517">
        <v>0</v>
      </c>
      <c r="H3517">
        <v>441</v>
      </c>
      <c r="I3517" s="183" t="s">
        <v>4499</v>
      </c>
      <c r="J3517" s="183" t="s">
        <v>12091</v>
      </c>
      <c r="K3517">
        <v>0</v>
      </c>
      <c r="L3517">
        <v>441</v>
      </c>
    </row>
    <row r="3518" spans="1:12">
      <c r="A3518" s="183" t="s">
        <v>4596</v>
      </c>
      <c r="B3518" s="183" t="s">
        <v>4509</v>
      </c>
      <c r="C3518">
        <v>8800269028423</v>
      </c>
      <c r="D3518">
        <v>431</v>
      </c>
      <c r="E3518">
        <v>0</v>
      </c>
      <c r="F3518">
        <v>0</v>
      </c>
      <c r="G3518">
        <v>0</v>
      </c>
      <c r="H3518">
        <v>431</v>
      </c>
      <c r="I3518" s="183" t="s">
        <v>4510</v>
      </c>
      <c r="J3518" s="183" t="s">
        <v>12059</v>
      </c>
      <c r="K3518">
        <v>0</v>
      </c>
      <c r="L3518">
        <v>431</v>
      </c>
    </row>
    <row r="3519" spans="1:12">
      <c r="A3519" s="183" t="s">
        <v>4597</v>
      </c>
      <c r="B3519" s="183" t="s">
        <v>4512</v>
      </c>
      <c r="C3519">
        <v>8800269028454</v>
      </c>
      <c r="D3519">
        <v>443</v>
      </c>
      <c r="E3519">
        <v>0</v>
      </c>
      <c r="F3519">
        <v>0</v>
      </c>
      <c r="G3519">
        <v>0</v>
      </c>
      <c r="H3519">
        <v>443</v>
      </c>
      <c r="I3519" s="183" t="s">
        <v>4510</v>
      </c>
      <c r="J3519" s="183" t="s">
        <v>12091</v>
      </c>
      <c r="K3519">
        <v>0</v>
      </c>
      <c r="L3519">
        <v>443</v>
      </c>
    </row>
    <row r="3520" spans="1:12">
      <c r="A3520" s="183" t="s">
        <v>4598</v>
      </c>
      <c r="B3520" s="183" t="s">
        <v>4566</v>
      </c>
      <c r="C3520">
        <v>8800269028539</v>
      </c>
      <c r="D3520">
        <v>473</v>
      </c>
      <c r="E3520">
        <v>0</v>
      </c>
      <c r="F3520">
        <v>0</v>
      </c>
      <c r="G3520">
        <v>0</v>
      </c>
      <c r="H3520">
        <v>473</v>
      </c>
      <c r="I3520" s="183" t="s">
        <v>4510</v>
      </c>
      <c r="J3520" s="183" t="s">
        <v>12092</v>
      </c>
      <c r="K3520">
        <v>0</v>
      </c>
      <c r="L3520">
        <v>473</v>
      </c>
    </row>
    <row r="3521" spans="1:12">
      <c r="A3521" s="183" t="s">
        <v>5934</v>
      </c>
      <c r="B3521" s="183" t="s">
        <v>5893</v>
      </c>
      <c r="C3521">
        <v>8800322956526</v>
      </c>
      <c r="D3521">
        <v>133</v>
      </c>
      <c r="E3521">
        <v>0</v>
      </c>
      <c r="F3521">
        <v>0</v>
      </c>
      <c r="G3521">
        <v>0</v>
      </c>
      <c r="H3521">
        <v>133</v>
      </c>
      <c r="I3521" s="183" t="s">
        <v>5896</v>
      </c>
      <c r="J3521" s="183" t="s">
        <v>12056</v>
      </c>
      <c r="K3521">
        <v>0</v>
      </c>
      <c r="L3521">
        <v>133</v>
      </c>
    </row>
    <row r="3522" spans="1:12">
      <c r="A3522" s="183" t="s">
        <v>5935</v>
      </c>
      <c r="B3522" s="183" t="s">
        <v>5893</v>
      </c>
      <c r="C3522">
        <v>8800322956571</v>
      </c>
      <c r="D3522">
        <v>152</v>
      </c>
      <c r="E3522">
        <v>0</v>
      </c>
      <c r="F3522">
        <v>0</v>
      </c>
      <c r="G3522">
        <v>0</v>
      </c>
      <c r="H3522">
        <v>152</v>
      </c>
      <c r="I3522" s="183" t="s">
        <v>5896</v>
      </c>
      <c r="J3522" s="183" t="s">
        <v>12061</v>
      </c>
      <c r="K3522">
        <v>0</v>
      </c>
      <c r="L3522">
        <v>152</v>
      </c>
    </row>
    <row r="3523" spans="1:12">
      <c r="A3523" s="183" t="s">
        <v>5936</v>
      </c>
      <c r="B3523" s="183" t="s">
        <v>5893</v>
      </c>
      <c r="C3523">
        <v>8800322956694</v>
      </c>
      <c r="D3523">
        <v>108</v>
      </c>
      <c r="E3523">
        <v>0</v>
      </c>
      <c r="F3523">
        <v>0</v>
      </c>
      <c r="G3523">
        <v>0</v>
      </c>
      <c r="H3523">
        <v>108</v>
      </c>
      <c r="I3523" s="183" t="s">
        <v>5896</v>
      </c>
      <c r="J3523" s="183" t="s">
        <v>12066</v>
      </c>
      <c r="K3523">
        <v>0</v>
      </c>
      <c r="L3523">
        <v>108</v>
      </c>
    </row>
    <row r="3524" spans="1:12">
      <c r="A3524" s="183" t="s">
        <v>5937</v>
      </c>
      <c r="B3524" s="183" t="s">
        <v>5893</v>
      </c>
      <c r="C3524">
        <v>8800322956724</v>
      </c>
      <c r="D3524">
        <v>91</v>
      </c>
      <c r="E3524">
        <v>0</v>
      </c>
      <c r="F3524">
        <v>0</v>
      </c>
      <c r="G3524">
        <v>0</v>
      </c>
      <c r="H3524">
        <v>91</v>
      </c>
      <c r="I3524" s="183" t="s">
        <v>5896</v>
      </c>
      <c r="J3524" s="183" t="s">
        <v>12057</v>
      </c>
      <c r="K3524">
        <v>0</v>
      </c>
      <c r="L3524">
        <v>91</v>
      </c>
    </row>
    <row r="3525" spans="1:12">
      <c r="A3525" s="183" t="s">
        <v>5960</v>
      </c>
      <c r="B3525" s="183" t="s">
        <v>5894</v>
      </c>
      <c r="C3525">
        <v>8800322956892</v>
      </c>
      <c r="D3525">
        <v>145</v>
      </c>
      <c r="E3525">
        <v>0</v>
      </c>
      <c r="F3525">
        <v>0</v>
      </c>
      <c r="G3525">
        <v>0</v>
      </c>
      <c r="H3525">
        <v>145</v>
      </c>
      <c r="I3525" s="183" t="s">
        <v>5899</v>
      </c>
      <c r="J3525" s="183" t="s">
        <v>12063</v>
      </c>
      <c r="K3525">
        <v>0</v>
      </c>
      <c r="L3525">
        <v>145</v>
      </c>
    </row>
    <row r="3526" spans="1:12">
      <c r="A3526" s="183" t="s">
        <v>5987</v>
      </c>
      <c r="B3526" s="183" t="s">
        <v>5984</v>
      </c>
      <c r="C3526">
        <v>8800322957066</v>
      </c>
      <c r="D3526">
        <v>154</v>
      </c>
      <c r="E3526">
        <v>0</v>
      </c>
      <c r="F3526">
        <v>0</v>
      </c>
      <c r="G3526">
        <v>0</v>
      </c>
      <c r="H3526">
        <v>154</v>
      </c>
      <c r="I3526" s="183" t="s">
        <v>5985</v>
      </c>
      <c r="J3526" s="183" t="s">
        <v>12095</v>
      </c>
      <c r="K3526">
        <v>0</v>
      </c>
      <c r="L3526">
        <v>154</v>
      </c>
    </row>
    <row r="3527" spans="1:12">
      <c r="A3527" s="183" t="s">
        <v>6000</v>
      </c>
      <c r="B3527" s="183" t="s">
        <v>5984</v>
      </c>
      <c r="C3527">
        <v>8800322957134</v>
      </c>
      <c r="D3527">
        <v>134</v>
      </c>
      <c r="E3527">
        <v>0</v>
      </c>
      <c r="F3527">
        <v>0</v>
      </c>
      <c r="G3527">
        <v>0</v>
      </c>
      <c r="H3527">
        <v>134</v>
      </c>
      <c r="I3527" s="183" t="s">
        <v>5985</v>
      </c>
      <c r="J3527" s="183" t="s">
        <v>12050</v>
      </c>
      <c r="K3527">
        <v>0</v>
      </c>
      <c r="L3527">
        <v>134</v>
      </c>
    </row>
    <row r="3528" spans="1:12">
      <c r="A3528" s="183" t="s">
        <v>6001</v>
      </c>
      <c r="B3528" s="183" t="s">
        <v>5984</v>
      </c>
      <c r="C3528">
        <v>8800322957172</v>
      </c>
      <c r="D3528">
        <v>153</v>
      </c>
      <c r="E3528">
        <v>0</v>
      </c>
      <c r="F3528">
        <v>0</v>
      </c>
      <c r="G3528">
        <v>0</v>
      </c>
      <c r="H3528">
        <v>153</v>
      </c>
      <c r="I3528" s="183" t="s">
        <v>5985</v>
      </c>
      <c r="J3528" s="183" t="s">
        <v>12063</v>
      </c>
      <c r="K3528">
        <v>0</v>
      </c>
      <c r="L3528">
        <v>153</v>
      </c>
    </row>
    <row r="3529" spans="1:12">
      <c r="A3529" s="183" t="s">
        <v>5938</v>
      </c>
      <c r="B3529" s="183" t="s">
        <v>5914</v>
      </c>
      <c r="C3529">
        <v>8800322957363</v>
      </c>
      <c r="D3529">
        <v>166</v>
      </c>
      <c r="E3529">
        <v>0</v>
      </c>
      <c r="F3529">
        <v>0</v>
      </c>
      <c r="G3529">
        <v>0</v>
      </c>
      <c r="H3529">
        <v>166</v>
      </c>
      <c r="I3529" s="183" t="s">
        <v>5915</v>
      </c>
      <c r="J3529" s="183" t="s">
        <v>12057</v>
      </c>
      <c r="K3529">
        <v>0</v>
      </c>
      <c r="L3529">
        <v>166</v>
      </c>
    </row>
    <row r="3530" spans="1:12">
      <c r="A3530" s="183" t="s">
        <v>5939</v>
      </c>
      <c r="B3530" s="183" t="s">
        <v>5914</v>
      </c>
      <c r="C3530">
        <v>8800322957370</v>
      </c>
      <c r="D3530">
        <v>174</v>
      </c>
      <c r="E3530">
        <v>0</v>
      </c>
      <c r="F3530">
        <v>0</v>
      </c>
      <c r="G3530">
        <v>0</v>
      </c>
      <c r="H3530">
        <v>174</v>
      </c>
      <c r="I3530" s="183" t="s">
        <v>5915</v>
      </c>
      <c r="J3530" s="183" t="s">
        <v>12052</v>
      </c>
      <c r="K3530">
        <v>0</v>
      </c>
      <c r="L3530">
        <v>174</v>
      </c>
    </row>
    <row r="3531" spans="1:12">
      <c r="A3531" s="183" t="s">
        <v>5993</v>
      </c>
      <c r="B3531" s="183" t="s">
        <v>5914</v>
      </c>
      <c r="C3531">
        <v>8800322957493</v>
      </c>
      <c r="D3531">
        <v>54</v>
      </c>
      <c r="E3531">
        <v>0</v>
      </c>
      <c r="F3531">
        <v>0</v>
      </c>
      <c r="G3531">
        <v>0</v>
      </c>
      <c r="H3531">
        <v>54</v>
      </c>
      <c r="I3531" s="183" t="s">
        <v>5915</v>
      </c>
      <c r="J3531" s="183" t="s">
        <v>12052</v>
      </c>
      <c r="K3531">
        <v>0</v>
      </c>
      <c r="L3531">
        <v>54</v>
      </c>
    </row>
    <row r="3532" spans="1:12">
      <c r="A3532" s="183" t="s">
        <v>6002</v>
      </c>
      <c r="B3532" s="183" t="s">
        <v>5995</v>
      </c>
      <c r="C3532">
        <v>8800322957561</v>
      </c>
      <c r="D3532">
        <v>59</v>
      </c>
      <c r="E3532">
        <v>0</v>
      </c>
      <c r="F3532">
        <v>0</v>
      </c>
      <c r="G3532">
        <v>0</v>
      </c>
      <c r="H3532">
        <v>59</v>
      </c>
      <c r="I3532" s="183" t="s">
        <v>5999</v>
      </c>
      <c r="J3532" s="183" t="s">
        <v>12057</v>
      </c>
      <c r="K3532">
        <v>0</v>
      </c>
      <c r="L3532">
        <v>59</v>
      </c>
    </row>
    <row r="3533" spans="1:12">
      <c r="A3533" s="183" t="s">
        <v>474</v>
      </c>
      <c r="B3533" s="183" t="s">
        <v>2060</v>
      </c>
      <c r="C3533">
        <v>16920202</v>
      </c>
      <c r="D3533" s="501">
        <v>2806</v>
      </c>
      <c r="E3533">
        <v>0</v>
      </c>
      <c r="F3533">
        <v>0</v>
      </c>
      <c r="G3533">
        <v>0</v>
      </c>
      <c r="H3533" s="501">
        <v>2806</v>
      </c>
      <c r="I3533" s="183" t="s">
        <v>996</v>
      </c>
      <c r="J3533" s="183" t="s">
        <v>12094</v>
      </c>
      <c r="K3533">
        <v>0</v>
      </c>
      <c r="L3533" s="501">
        <v>2806</v>
      </c>
    </row>
    <row r="3534" spans="1:12">
      <c r="A3534" s="183" t="s">
        <v>475</v>
      </c>
      <c r="B3534" s="183" t="s">
        <v>2060</v>
      </c>
      <c r="C3534">
        <v>16920203</v>
      </c>
      <c r="D3534" s="501">
        <v>2468</v>
      </c>
      <c r="E3534">
        <v>0</v>
      </c>
      <c r="F3534">
        <v>0</v>
      </c>
      <c r="G3534">
        <v>0</v>
      </c>
      <c r="H3534" s="501">
        <v>2468</v>
      </c>
      <c r="I3534" s="183" t="s">
        <v>996</v>
      </c>
      <c r="J3534" s="183" t="s">
        <v>12081</v>
      </c>
      <c r="K3534">
        <v>0</v>
      </c>
      <c r="L3534" s="501">
        <v>2468</v>
      </c>
    </row>
    <row r="3535" spans="1:12">
      <c r="A3535" s="183" t="s">
        <v>481</v>
      </c>
      <c r="B3535" s="183" t="s">
        <v>995</v>
      </c>
      <c r="C3535">
        <v>16920209</v>
      </c>
      <c r="D3535">
        <v>128</v>
      </c>
      <c r="E3535">
        <v>0</v>
      </c>
      <c r="F3535">
        <v>0</v>
      </c>
      <c r="G3535">
        <v>0</v>
      </c>
      <c r="H3535">
        <v>128</v>
      </c>
      <c r="I3535" s="183" t="s">
        <v>996</v>
      </c>
      <c r="J3535" s="183" t="s">
        <v>12092</v>
      </c>
      <c r="K3535">
        <v>0</v>
      </c>
      <c r="L3535">
        <v>128</v>
      </c>
    </row>
    <row r="3536" spans="1:12">
      <c r="A3536" s="183" t="s">
        <v>482</v>
      </c>
      <c r="B3536" s="183" t="s">
        <v>995</v>
      </c>
      <c r="C3536">
        <v>16920211</v>
      </c>
      <c r="D3536">
        <v>108</v>
      </c>
      <c r="E3536">
        <v>0</v>
      </c>
      <c r="F3536">
        <v>0</v>
      </c>
      <c r="G3536">
        <v>0</v>
      </c>
      <c r="H3536">
        <v>108</v>
      </c>
      <c r="I3536" s="183" t="s">
        <v>996</v>
      </c>
      <c r="J3536" s="183" t="s">
        <v>12093</v>
      </c>
      <c r="K3536">
        <v>0</v>
      </c>
      <c r="L3536">
        <v>108</v>
      </c>
    </row>
    <row r="3537" spans="1:12">
      <c r="A3537" s="183" t="s">
        <v>5829</v>
      </c>
      <c r="B3537" s="183" t="s">
        <v>1031</v>
      </c>
      <c r="C3537">
        <v>16920218</v>
      </c>
      <c r="D3537">
        <v>146</v>
      </c>
      <c r="E3537">
        <v>0</v>
      </c>
      <c r="F3537">
        <v>0</v>
      </c>
      <c r="G3537">
        <v>0</v>
      </c>
      <c r="H3537">
        <v>146</v>
      </c>
      <c r="I3537" s="183" t="s">
        <v>996</v>
      </c>
      <c r="J3537" s="183" t="s">
        <v>12093</v>
      </c>
      <c r="K3537">
        <v>0</v>
      </c>
      <c r="L3537">
        <v>146</v>
      </c>
    </row>
    <row r="3538" spans="1:12">
      <c r="A3538" s="183" t="s">
        <v>3073</v>
      </c>
      <c r="B3538" s="183" t="s">
        <v>1244</v>
      </c>
      <c r="C3538">
        <v>16920232</v>
      </c>
      <c r="D3538">
        <v>308</v>
      </c>
      <c r="E3538">
        <v>0</v>
      </c>
      <c r="F3538">
        <v>0</v>
      </c>
      <c r="G3538">
        <v>0</v>
      </c>
      <c r="H3538">
        <v>308</v>
      </c>
      <c r="I3538" s="183" t="s">
        <v>996</v>
      </c>
      <c r="J3538" s="183" t="s">
        <v>12095</v>
      </c>
      <c r="K3538">
        <v>0</v>
      </c>
      <c r="L3538">
        <v>308</v>
      </c>
    </row>
    <row r="3539" spans="1:12">
      <c r="A3539" s="183" t="s">
        <v>501</v>
      </c>
      <c r="B3539" s="183" t="s">
        <v>1018</v>
      </c>
      <c r="C3539">
        <v>30010210</v>
      </c>
      <c r="D3539">
        <v>71</v>
      </c>
      <c r="E3539">
        <v>0</v>
      </c>
      <c r="F3539">
        <v>50</v>
      </c>
      <c r="G3539">
        <v>0</v>
      </c>
      <c r="H3539">
        <v>121</v>
      </c>
      <c r="I3539" s="183" t="s">
        <v>1019</v>
      </c>
      <c r="J3539" s="183" t="s">
        <v>12094</v>
      </c>
      <c r="K3539">
        <v>0</v>
      </c>
      <c r="L3539">
        <v>71</v>
      </c>
    </row>
    <row r="3540" spans="1:12">
      <c r="A3540" s="183" t="s">
        <v>504</v>
      </c>
      <c r="B3540" s="183" t="s">
        <v>1018</v>
      </c>
      <c r="C3540">
        <v>30010214</v>
      </c>
      <c r="D3540">
        <v>110</v>
      </c>
      <c r="E3540">
        <v>0</v>
      </c>
      <c r="F3540">
        <v>0</v>
      </c>
      <c r="G3540">
        <v>0</v>
      </c>
      <c r="H3540">
        <v>110</v>
      </c>
      <c r="I3540" s="183" t="s">
        <v>1019</v>
      </c>
      <c r="J3540" s="183" t="s">
        <v>12091</v>
      </c>
      <c r="K3540">
        <v>0</v>
      </c>
      <c r="L3540">
        <v>110</v>
      </c>
    </row>
    <row r="3541" spans="1:12">
      <c r="A3541" s="183" t="s">
        <v>508</v>
      </c>
      <c r="B3541" s="183" t="s">
        <v>1018</v>
      </c>
      <c r="C3541">
        <v>30010218</v>
      </c>
      <c r="D3541">
        <v>26</v>
      </c>
      <c r="E3541">
        <v>0</v>
      </c>
      <c r="F3541">
        <v>13</v>
      </c>
      <c r="G3541">
        <v>0</v>
      </c>
      <c r="H3541">
        <v>39</v>
      </c>
      <c r="I3541" s="183" t="s">
        <v>1019</v>
      </c>
      <c r="J3541" s="183" t="s">
        <v>12095</v>
      </c>
      <c r="K3541">
        <v>0</v>
      </c>
      <c r="L3541">
        <v>26</v>
      </c>
    </row>
    <row r="3542" spans="1:12">
      <c r="A3542" s="183" t="s">
        <v>734</v>
      </c>
      <c r="B3542" s="183" t="s">
        <v>1018</v>
      </c>
      <c r="C3542">
        <v>30010221</v>
      </c>
      <c r="D3542">
        <v>0</v>
      </c>
      <c r="E3542">
        <v>0</v>
      </c>
      <c r="F3542">
        <v>90</v>
      </c>
      <c r="G3542">
        <v>0</v>
      </c>
      <c r="H3542">
        <v>90</v>
      </c>
      <c r="I3542" s="183" t="s">
        <v>1019</v>
      </c>
      <c r="J3542" s="183" t="s">
        <v>12092</v>
      </c>
      <c r="K3542">
        <v>0</v>
      </c>
      <c r="L3542">
        <v>0</v>
      </c>
    </row>
    <row r="3543" spans="1:12">
      <c r="A3543" s="183" t="s">
        <v>525</v>
      </c>
      <c r="B3543" s="183" t="s">
        <v>991</v>
      </c>
      <c r="C3543">
        <v>30020211</v>
      </c>
      <c r="D3543">
        <v>36</v>
      </c>
      <c r="E3543">
        <v>0</v>
      </c>
      <c r="F3543">
        <v>39</v>
      </c>
      <c r="G3543">
        <v>0</v>
      </c>
      <c r="H3543">
        <v>75</v>
      </c>
      <c r="I3543" s="183" t="s">
        <v>992</v>
      </c>
      <c r="J3543" s="183" t="s">
        <v>12094</v>
      </c>
      <c r="K3543">
        <v>0</v>
      </c>
      <c r="L3543">
        <v>36</v>
      </c>
    </row>
    <row r="3544" spans="1:12">
      <c r="A3544" s="183" t="s">
        <v>533</v>
      </c>
      <c r="B3544" s="183" t="s">
        <v>991</v>
      </c>
      <c r="C3544">
        <v>30020222</v>
      </c>
      <c r="D3544">
        <v>129</v>
      </c>
      <c r="E3544">
        <v>0</v>
      </c>
      <c r="F3544">
        <v>5</v>
      </c>
      <c r="G3544">
        <v>0</v>
      </c>
      <c r="H3544">
        <v>134</v>
      </c>
      <c r="I3544" s="183" t="s">
        <v>992</v>
      </c>
      <c r="J3544" s="183" t="s">
        <v>12063</v>
      </c>
      <c r="K3544">
        <v>0</v>
      </c>
      <c r="L3544">
        <v>129</v>
      </c>
    </row>
    <row r="3545" spans="1:12">
      <c r="A3545" s="183" t="s">
        <v>536</v>
      </c>
      <c r="B3545" s="183" t="s">
        <v>991</v>
      </c>
      <c r="C3545">
        <v>30020228</v>
      </c>
      <c r="D3545">
        <v>25</v>
      </c>
      <c r="E3545">
        <v>0</v>
      </c>
      <c r="F3545">
        <v>8</v>
      </c>
      <c r="G3545">
        <v>0</v>
      </c>
      <c r="H3545">
        <v>33</v>
      </c>
      <c r="I3545" s="183" t="s">
        <v>992</v>
      </c>
      <c r="J3545" s="183" t="s">
        <v>12059</v>
      </c>
      <c r="K3545">
        <v>0</v>
      </c>
      <c r="L3545">
        <v>25</v>
      </c>
    </row>
    <row r="3546" spans="1:12">
      <c r="A3546" s="183" t="s">
        <v>542</v>
      </c>
      <c r="B3546" s="183" t="s">
        <v>1048</v>
      </c>
      <c r="C3546">
        <v>33010203</v>
      </c>
      <c r="D3546">
        <v>109</v>
      </c>
      <c r="E3546">
        <v>0</v>
      </c>
      <c r="F3546">
        <v>48</v>
      </c>
      <c r="G3546">
        <v>0</v>
      </c>
      <c r="H3546">
        <v>157</v>
      </c>
      <c r="I3546" s="183" t="s">
        <v>1049</v>
      </c>
      <c r="J3546" s="183" t="s">
        <v>12092</v>
      </c>
      <c r="K3546">
        <v>0</v>
      </c>
      <c r="L3546">
        <v>109</v>
      </c>
    </row>
    <row r="3547" spans="1:12">
      <c r="A3547" s="183" t="s">
        <v>3775</v>
      </c>
      <c r="B3547" s="183" t="s">
        <v>1048</v>
      </c>
      <c r="C3547">
        <v>33010216</v>
      </c>
      <c r="D3547">
        <v>110</v>
      </c>
      <c r="E3547">
        <v>0</v>
      </c>
      <c r="F3547">
        <v>7</v>
      </c>
      <c r="G3547">
        <v>0</v>
      </c>
      <c r="H3547">
        <v>117</v>
      </c>
      <c r="I3547" s="183" t="s">
        <v>1049</v>
      </c>
      <c r="J3547" s="183" t="s">
        <v>12057</v>
      </c>
      <c r="K3547">
        <v>0</v>
      </c>
      <c r="L3547">
        <v>110</v>
      </c>
    </row>
    <row r="3548" spans="1:12">
      <c r="A3548" s="183" t="s">
        <v>544</v>
      </c>
      <c r="B3548" s="183" t="s">
        <v>1048</v>
      </c>
      <c r="C3548">
        <v>33010223</v>
      </c>
      <c r="D3548">
        <v>83</v>
      </c>
      <c r="E3548">
        <v>0</v>
      </c>
      <c r="F3548">
        <v>31</v>
      </c>
      <c r="G3548">
        <v>0</v>
      </c>
      <c r="H3548">
        <v>114</v>
      </c>
      <c r="I3548" s="183" t="s">
        <v>1049</v>
      </c>
      <c r="J3548" s="183" t="s">
        <v>12091</v>
      </c>
      <c r="K3548">
        <v>0</v>
      </c>
      <c r="L3548">
        <v>83</v>
      </c>
    </row>
    <row r="3549" spans="1:12">
      <c r="A3549" s="183" t="s">
        <v>741</v>
      </c>
      <c r="B3549" s="183" t="s">
        <v>1056</v>
      </c>
      <c r="C3549">
        <v>33020204</v>
      </c>
      <c r="D3549">
        <v>108</v>
      </c>
      <c r="E3549">
        <v>0</v>
      </c>
      <c r="F3549">
        <v>19</v>
      </c>
      <c r="G3549">
        <v>0</v>
      </c>
      <c r="H3549">
        <v>127</v>
      </c>
      <c r="I3549" s="183" t="s">
        <v>1057</v>
      </c>
      <c r="J3549" s="183" t="s">
        <v>12060</v>
      </c>
      <c r="K3549">
        <v>0</v>
      </c>
      <c r="L3549">
        <v>108</v>
      </c>
    </row>
    <row r="3550" spans="1:12">
      <c r="A3550" s="183" t="s">
        <v>4174</v>
      </c>
      <c r="B3550" s="183" t="s">
        <v>1056</v>
      </c>
      <c r="C3550">
        <v>33020216</v>
      </c>
      <c r="D3550">
        <v>21</v>
      </c>
      <c r="E3550">
        <v>0</v>
      </c>
      <c r="F3550">
        <v>0</v>
      </c>
      <c r="G3550">
        <v>0</v>
      </c>
      <c r="H3550">
        <v>21</v>
      </c>
      <c r="I3550" s="183" t="s">
        <v>1057</v>
      </c>
      <c r="J3550" s="183" t="s">
        <v>12093</v>
      </c>
      <c r="K3550">
        <v>0</v>
      </c>
      <c r="L3550">
        <v>21</v>
      </c>
    </row>
    <row r="3551" spans="1:12">
      <c r="A3551" s="183" t="s">
        <v>3538</v>
      </c>
      <c r="B3551" s="183" t="s">
        <v>1056</v>
      </c>
      <c r="C3551">
        <v>33020220</v>
      </c>
      <c r="D3551">
        <v>138</v>
      </c>
      <c r="E3551">
        <v>0</v>
      </c>
      <c r="F3551">
        <v>12</v>
      </c>
      <c r="G3551">
        <v>0</v>
      </c>
      <c r="H3551">
        <v>150</v>
      </c>
      <c r="I3551" s="183" t="s">
        <v>1057</v>
      </c>
      <c r="J3551" s="183" t="s">
        <v>12085</v>
      </c>
      <c r="K3551">
        <v>0</v>
      </c>
      <c r="L3551">
        <v>138</v>
      </c>
    </row>
    <row r="3552" spans="1:12">
      <c r="A3552" s="183" t="s">
        <v>3551</v>
      </c>
      <c r="B3552" s="183" t="s">
        <v>1003</v>
      </c>
      <c r="C3552">
        <v>33040212</v>
      </c>
      <c r="D3552">
        <v>45</v>
      </c>
      <c r="E3552">
        <v>0</v>
      </c>
      <c r="F3552">
        <v>14</v>
      </c>
      <c r="G3552">
        <v>0</v>
      </c>
      <c r="H3552">
        <v>59</v>
      </c>
      <c r="I3552" s="183" t="s">
        <v>1004</v>
      </c>
      <c r="J3552" s="183" t="s">
        <v>12091</v>
      </c>
      <c r="K3552">
        <v>0</v>
      </c>
      <c r="L3552">
        <v>45</v>
      </c>
    </row>
    <row r="3553" spans="1:12">
      <c r="A3553" s="183" t="s">
        <v>3761</v>
      </c>
      <c r="B3553" s="183" t="s">
        <v>1003</v>
      </c>
      <c r="C3553">
        <v>33040217</v>
      </c>
      <c r="D3553">
        <v>105</v>
      </c>
      <c r="E3553">
        <v>0</v>
      </c>
      <c r="F3553">
        <v>25</v>
      </c>
      <c r="G3553">
        <v>0</v>
      </c>
      <c r="H3553">
        <v>130</v>
      </c>
      <c r="I3553" s="183" t="s">
        <v>1004</v>
      </c>
      <c r="J3553" s="183" t="s">
        <v>12059</v>
      </c>
      <c r="K3553">
        <v>0</v>
      </c>
      <c r="L3553">
        <v>105</v>
      </c>
    </row>
    <row r="3554" spans="1:12">
      <c r="A3554" s="183" t="s">
        <v>3552</v>
      </c>
      <c r="B3554" s="183" t="s">
        <v>1003</v>
      </c>
      <c r="C3554">
        <v>33040220</v>
      </c>
      <c r="D3554">
        <v>51</v>
      </c>
      <c r="E3554">
        <v>0</v>
      </c>
      <c r="F3554">
        <v>23</v>
      </c>
      <c r="G3554">
        <v>0</v>
      </c>
      <c r="H3554">
        <v>74</v>
      </c>
      <c r="I3554" s="183" t="s">
        <v>1004</v>
      </c>
      <c r="J3554" s="183" t="s">
        <v>12063</v>
      </c>
      <c r="K3554">
        <v>0</v>
      </c>
      <c r="L3554">
        <v>51</v>
      </c>
    </row>
    <row r="3555" spans="1:12">
      <c r="A3555" s="183" t="s">
        <v>573</v>
      </c>
      <c r="B3555" s="183" t="s">
        <v>1003</v>
      </c>
      <c r="C3555">
        <v>33040238</v>
      </c>
      <c r="D3555">
        <v>100</v>
      </c>
      <c r="E3555">
        <v>0</v>
      </c>
      <c r="F3555">
        <v>7</v>
      </c>
      <c r="G3555">
        <v>0</v>
      </c>
      <c r="H3555">
        <v>107</v>
      </c>
      <c r="I3555" s="183" t="s">
        <v>1004</v>
      </c>
      <c r="J3555" s="183" t="s">
        <v>12056</v>
      </c>
      <c r="K3555">
        <v>0</v>
      </c>
      <c r="L3555">
        <v>100</v>
      </c>
    </row>
    <row r="3556" spans="1:12">
      <c r="A3556" s="183" t="s">
        <v>4409</v>
      </c>
      <c r="B3556" s="183" t="s">
        <v>4410</v>
      </c>
      <c r="C3556">
        <v>8800269006315</v>
      </c>
      <c r="D3556">
        <v>199</v>
      </c>
      <c r="E3556">
        <v>0</v>
      </c>
      <c r="F3556">
        <v>0</v>
      </c>
      <c r="G3556">
        <v>0</v>
      </c>
      <c r="H3556">
        <v>199</v>
      </c>
      <c r="I3556" s="183" t="s">
        <v>4355</v>
      </c>
      <c r="J3556" s="183" t="s">
        <v>12048</v>
      </c>
      <c r="K3556">
        <v>0</v>
      </c>
      <c r="L3556">
        <v>199</v>
      </c>
    </row>
    <row r="3557" spans="1:12">
      <c r="A3557" s="183" t="s">
        <v>4411</v>
      </c>
      <c r="B3557" s="183" t="s">
        <v>4412</v>
      </c>
      <c r="C3557">
        <v>8800269006346</v>
      </c>
      <c r="D3557">
        <v>214</v>
      </c>
      <c r="E3557">
        <v>0</v>
      </c>
      <c r="F3557">
        <v>0</v>
      </c>
      <c r="G3557">
        <v>0</v>
      </c>
      <c r="H3557">
        <v>214</v>
      </c>
      <c r="I3557" s="183" t="s">
        <v>4355</v>
      </c>
      <c r="J3557" s="183" t="s">
        <v>12066</v>
      </c>
      <c r="K3557">
        <v>0</v>
      </c>
      <c r="L3557">
        <v>214</v>
      </c>
    </row>
    <row r="3558" spans="1:12">
      <c r="A3558" s="183" t="s">
        <v>4413</v>
      </c>
      <c r="B3558" s="183" t="s">
        <v>4414</v>
      </c>
      <c r="C3558">
        <v>8800269006353</v>
      </c>
      <c r="D3558">
        <v>194</v>
      </c>
      <c r="E3558">
        <v>0</v>
      </c>
      <c r="F3558">
        <v>0</v>
      </c>
      <c r="G3558">
        <v>0</v>
      </c>
      <c r="H3558">
        <v>194</v>
      </c>
      <c r="I3558" s="183" t="s">
        <v>4355</v>
      </c>
      <c r="J3558" s="183" t="s">
        <v>12048</v>
      </c>
      <c r="K3558">
        <v>0</v>
      </c>
      <c r="L3558">
        <v>194</v>
      </c>
    </row>
    <row r="3559" spans="1:12">
      <c r="A3559" s="183" t="s">
        <v>4415</v>
      </c>
      <c r="B3559" s="183" t="s">
        <v>4416</v>
      </c>
      <c r="C3559">
        <v>8800269006483</v>
      </c>
      <c r="D3559">
        <v>100</v>
      </c>
      <c r="E3559">
        <v>0</v>
      </c>
      <c r="F3559">
        <v>0</v>
      </c>
      <c r="G3559">
        <v>0</v>
      </c>
      <c r="H3559">
        <v>100</v>
      </c>
      <c r="I3559" s="183" t="s">
        <v>4355</v>
      </c>
      <c r="J3559" s="183" t="s">
        <v>12048</v>
      </c>
      <c r="K3559">
        <v>0</v>
      </c>
      <c r="L3559">
        <v>100</v>
      </c>
    </row>
    <row r="3560" spans="1:12">
      <c r="A3560" s="183" t="s">
        <v>4417</v>
      </c>
      <c r="B3560" s="183" t="s">
        <v>4359</v>
      </c>
      <c r="C3560">
        <v>8800269006599</v>
      </c>
      <c r="D3560">
        <v>153</v>
      </c>
      <c r="E3560">
        <v>0</v>
      </c>
      <c r="F3560">
        <v>0</v>
      </c>
      <c r="G3560">
        <v>0</v>
      </c>
      <c r="H3560">
        <v>153</v>
      </c>
      <c r="I3560" s="183" t="s">
        <v>4360</v>
      </c>
      <c r="J3560" s="183" t="s">
        <v>12048</v>
      </c>
      <c r="K3560">
        <v>0</v>
      </c>
      <c r="L3560">
        <v>153</v>
      </c>
    </row>
    <row r="3561" spans="1:12">
      <c r="A3561" s="183" t="s">
        <v>4418</v>
      </c>
      <c r="B3561" s="183" t="s">
        <v>4362</v>
      </c>
      <c r="C3561">
        <v>8800269006636</v>
      </c>
      <c r="D3561">
        <v>152</v>
      </c>
      <c r="E3561">
        <v>0</v>
      </c>
      <c r="F3561">
        <v>0</v>
      </c>
      <c r="G3561">
        <v>0</v>
      </c>
      <c r="H3561">
        <v>152</v>
      </c>
      <c r="I3561" s="183" t="s">
        <v>4360</v>
      </c>
      <c r="J3561" s="183" t="s">
        <v>12085</v>
      </c>
      <c r="K3561">
        <v>0</v>
      </c>
      <c r="L3561">
        <v>152</v>
      </c>
    </row>
    <row r="3562" spans="1:12">
      <c r="A3562" s="183" t="s">
        <v>4450</v>
      </c>
      <c r="B3562" s="183" t="s">
        <v>4451</v>
      </c>
      <c r="C3562">
        <v>8800269006773</v>
      </c>
      <c r="D3562">
        <v>155</v>
      </c>
      <c r="E3562">
        <v>0</v>
      </c>
      <c r="F3562">
        <v>0</v>
      </c>
      <c r="G3562">
        <v>0</v>
      </c>
      <c r="H3562">
        <v>155</v>
      </c>
      <c r="I3562" s="183" t="s">
        <v>4360</v>
      </c>
      <c r="J3562" s="183" t="s">
        <v>12063</v>
      </c>
      <c r="K3562">
        <v>0</v>
      </c>
      <c r="L3562">
        <v>155</v>
      </c>
    </row>
    <row r="3563" spans="1:12">
      <c r="A3563" s="183" t="s">
        <v>4555</v>
      </c>
      <c r="B3563" s="183" t="s">
        <v>4556</v>
      </c>
      <c r="C3563">
        <v>8800269028010</v>
      </c>
      <c r="D3563">
        <v>470</v>
      </c>
      <c r="E3563">
        <v>0</v>
      </c>
      <c r="F3563">
        <v>0</v>
      </c>
      <c r="G3563">
        <v>0</v>
      </c>
      <c r="H3563">
        <v>470</v>
      </c>
      <c r="I3563" s="183" t="s">
        <v>4499</v>
      </c>
      <c r="J3563" s="183" t="s">
        <v>12081</v>
      </c>
      <c r="K3563">
        <v>0</v>
      </c>
      <c r="L3563">
        <v>470</v>
      </c>
    </row>
    <row r="3564" spans="1:12">
      <c r="A3564" s="183" t="s">
        <v>4557</v>
      </c>
      <c r="B3564" s="183" t="s">
        <v>4558</v>
      </c>
      <c r="C3564">
        <v>8800269028027</v>
      </c>
      <c r="D3564">
        <v>500</v>
      </c>
      <c r="E3564">
        <v>0</v>
      </c>
      <c r="F3564">
        <v>0</v>
      </c>
      <c r="G3564">
        <v>0</v>
      </c>
      <c r="H3564">
        <v>500</v>
      </c>
      <c r="I3564" s="183" t="s">
        <v>4499</v>
      </c>
      <c r="J3564" s="183" t="s">
        <v>12060</v>
      </c>
      <c r="K3564">
        <v>0</v>
      </c>
      <c r="L3564">
        <v>500</v>
      </c>
    </row>
    <row r="3565" spans="1:12">
      <c r="A3565" s="183" t="s">
        <v>4559</v>
      </c>
      <c r="B3565" s="183" t="s">
        <v>4560</v>
      </c>
      <c r="C3565">
        <v>8800269028171</v>
      </c>
      <c r="D3565">
        <v>446</v>
      </c>
      <c r="E3565">
        <v>0</v>
      </c>
      <c r="F3565">
        <v>0</v>
      </c>
      <c r="G3565">
        <v>0</v>
      </c>
      <c r="H3565">
        <v>446</v>
      </c>
      <c r="I3565" s="183" t="s">
        <v>4499</v>
      </c>
      <c r="J3565" s="183" t="s">
        <v>12067</v>
      </c>
      <c r="K3565">
        <v>0</v>
      </c>
      <c r="L3565">
        <v>446</v>
      </c>
    </row>
    <row r="3566" spans="1:12">
      <c r="A3566" s="183" t="s">
        <v>4561</v>
      </c>
      <c r="B3566" s="183" t="s">
        <v>4562</v>
      </c>
      <c r="C3566">
        <v>8800269028386</v>
      </c>
      <c r="D3566">
        <v>422</v>
      </c>
      <c r="E3566">
        <v>0</v>
      </c>
      <c r="F3566">
        <v>0</v>
      </c>
      <c r="G3566">
        <v>0</v>
      </c>
      <c r="H3566">
        <v>422</v>
      </c>
      <c r="I3566" s="183" t="s">
        <v>4510</v>
      </c>
      <c r="J3566" s="183" t="s">
        <v>12085</v>
      </c>
      <c r="K3566">
        <v>0</v>
      </c>
      <c r="L3566">
        <v>422</v>
      </c>
    </row>
    <row r="3567" spans="1:12">
      <c r="A3567" s="183" t="s">
        <v>4563</v>
      </c>
      <c r="B3567" s="183" t="s">
        <v>4509</v>
      </c>
      <c r="C3567">
        <v>8800269028409</v>
      </c>
      <c r="D3567">
        <v>420</v>
      </c>
      <c r="E3567">
        <v>0</v>
      </c>
      <c r="F3567">
        <v>0</v>
      </c>
      <c r="G3567">
        <v>0</v>
      </c>
      <c r="H3567">
        <v>420</v>
      </c>
      <c r="I3567" s="183" t="s">
        <v>4510</v>
      </c>
      <c r="J3567" s="183" t="s">
        <v>12094</v>
      </c>
      <c r="K3567">
        <v>0</v>
      </c>
      <c r="L3567">
        <v>420</v>
      </c>
    </row>
    <row r="3568" spans="1:12">
      <c r="A3568" s="183" t="s">
        <v>4564</v>
      </c>
      <c r="B3568" s="183" t="s">
        <v>4512</v>
      </c>
      <c r="C3568">
        <v>8800269028478</v>
      </c>
      <c r="D3568">
        <v>458</v>
      </c>
      <c r="E3568">
        <v>0</v>
      </c>
      <c r="F3568">
        <v>0</v>
      </c>
      <c r="G3568">
        <v>0</v>
      </c>
      <c r="H3568">
        <v>458</v>
      </c>
      <c r="I3568" s="183" t="s">
        <v>4510</v>
      </c>
      <c r="J3568" s="183" t="s">
        <v>12093</v>
      </c>
      <c r="K3568">
        <v>0</v>
      </c>
      <c r="L3568">
        <v>458</v>
      </c>
    </row>
    <row r="3569" spans="1:12">
      <c r="A3569" s="183" t="s">
        <v>4565</v>
      </c>
      <c r="B3569" s="183" t="s">
        <v>4566</v>
      </c>
      <c r="C3569">
        <v>8800269028522</v>
      </c>
      <c r="D3569">
        <v>464</v>
      </c>
      <c r="E3569">
        <v>0</v>
      </c>
      <c r="F3569">
        <v>0</v>
      </c>
      <c r="G3569">
        <v>0</v>
      </c>
      <c r="H3569">
        <v>464</v>
      </c>
      <c r="I3569" s="183" t="s">
        <v>4510</v>
      </c>
      <c r="J3569" s="183" t="s">
        <v>12067</v>
      </c>
      <c r="K3569">
        <v>0</v>
      </c>
      <c r="L3569">
        <v>464</v>
      </c>
    </row>
    <row r="3570" spans="1:12">
      <c r="A3570" s="183" t="s">
        <v>4567</v>
      </c>
      <c r="B3570" s="183" t="s">
        <v>4568</v>
      </c>
      <c r="C3570">
        <v>8800269028577</v>
      </c>
      <c r="D3570">
        <v>292</v>
      </c>
      <c r="E3570">
        <v>0</v>
      </c>
      <c r="F3570">
        <v>0</v>
      </c>
      <c r="G3570">
        <v>0</v>
      </c>
      <c r="H3570">
        <v>292</v>
      </c>
      <c r="I3570" s="183" t="s">
        <v>4510</v>
      </c>
      <c r="J3570" s="183" t="s">
        <v>12053</v>
      </c>
      <c r="K3570">
        <v>0</v>
      </c>
      <c r="L3570">
        <v>292</v>
      </c>
    </row>
    <row r="3571" spans="1:12">
      <c r="A3571" s="183" t="s">
        <v>5955</v>
      </c>
      <c r="B3571" s="183" t="s">
        <v>5893</v>
      </c>
      <c r="C3571">
        <v>8800322956564</v>
      </c>
      <c r="D3571">
        <v>177</v>
      </c>
      <c r="E3571">
        <v>0</v>
      </c>
      <c r="F3571">
        <v>0</v>
      </c>
      <c r="G3571">
        <v>0</v>
      </c>
      <c r="H3571">
        <v>177</v>
      </c>
      <c r="I3571" s="183" t="s">
        <v>5896</v>
      </c>
      <c r="J3571" s="183" t="s">
        <v>12050</v>
      </c>
      <c r="K3571">
        <v>0</v>
      </c>
      <c r="L3571">
        <v>177</v>
      </c>
    </row>
    <row r="3572" spans="1:12">
      <c r="A3572" s="183" t="s">
        <v>5947</v>
      </c>
      <c r="B3572" s="183" t="s">
        <v>5893</v>
      </c>
      <c r="C3572">
        <v>8800322956595</v>
      </c>
      <c r="D3572">
        <v>131</v>
      </c>
      <c r="E3572">
        <v>0</v>
      </c>
      <c r="F3572">
        <v>0</v>
      </c>
      <c r="G3572">
        <v>0</v>
      </c>
      <c r="H3572">
        <v>131</v>
      </c>
      <c r="I3572" s="183" t="s">
        <v>5896</v>
      </c>
      <c r="J3572" s="183" t="s">
        <v>12050</v>
      </c>
      <c r="K3572">
        <v>0</v>
      </c>
      <c r="L3572">
        <v>131</v>
      </c>
    </row>
    <row r="3573" spans="1:12">
      <c r="A3573" s="183" t="s">
        <v>5948</v>
      </c>
      <c r="B3573" s="183" t="s">
        <v>5893</v>
      </c>
      <c r="C3573">
        <v>8800322956687</v>
      </c>
      <c r="D3573">
        <v>111</v>
      </c>
      <c r="E3573">
        <v>0</v>
      </c>
      <c r="F3573">
        <v>0</v>
      </c>
      <c r="G3573">
        <v>0</v>
      </c>
      <c r="H3573">
        <v>111</v>
      </c>
      <c r="I3573" s="183" t="s">
        <v>5896</v>
      </c>
      <c r="J3573" s="183" t="s">
        <v>12050</v>
      </c>
      <c r="K3573">
        <v>0</v>
      </c>
      <c r="L3573">
        <v>111</v>
      </c>
    </row>
    <row r="3574" spans="1:12">
      <c r="A3574" s="183" t="s">
        <v>5949</v>
      </c>
      <c r="B3574" s="183" t="s">
        <v>5893</v>
      </c>
      <c r="C3574">
        <v>8800322956700</v>
      </c>
      <c r="D3574">
        <v>122</v>
      </c>
      <c r="E3574">
        <v>0</v>
      </c>
      <c r="F3574">
        <v>0</v>
      </c>
      <c r="G3574">
        <v>0</v>
      </c>
      <c r="H3574">
        <v>122</v>
      </c>
      <c r="I3574" s="183" t="s">
        <v>5896</v>
      </c>
      <c r="J3574" s="183" t="s">
        <v>12061</v>
      </c>
      <c r="K3574">
        <v>0</v>
      </c>
      <c r="L3574">
        <v>122</v>
      </c>
    </row>
    <row r="3575" spans="1:12">
      <c r="A3575" s="183" t="s">
        <v>5950</v>
      </c>
      <c r="B3575" s="183" t="s">
        <v>5894</v>
      </c>
      <c r="C3575">
        <v>8800322956861</v>
      </c>
      <c r="D3575">
        <v>156</v>
      </c>
      <c r="E3575">
        <v>0</v>
      </c>
      <c r="F3575">
        <v>0</v>
      </c>
      <c r="G3575">
        <v>0</v>
      </c>
      <c r="H3575">
        <v>156</v>
      </c>
      <c r="I3575" s="183" t="s">
        <v>5899</v>
      </c>
      <c r="J3575" s="183" t="s">
        <v>12052</v>
      </c>
      <c r="K3575">
        <v>0</v>
      </c>
      <c r="L3575">
        <v>156</v>
      </c>
    </row>
    <row r="3576" spans="1:12">
      <c r="A3576" s="183" t="s">
        <v>5956</v>
      </c>
      <c r="B3576" s="183" t="s">
        <v>5894</v>
      </c>
      <c r="C3576">
        <v>8800322956946</v>
      </c>
      <c r="D3576">
        <v>166</v>
      </c>
      <c r="E3576">
        <v>0</v>
      </c>
      <c r="F3576">
        <v>0</v>
      </c>
      <c r="G3576">
        <v>0</v>
      </c>
      <c r="H3576">
        <v>166</v>
      </c>
      <c r="I3576" s="183" t="s">
        <v>5899</v>
      </c>
      <c r="J3576" s="183" t="s">
        <v>12052</v>
      </c>
      <c r="K3576">
        <v>0</v>
      </c>
      <c r="L3576">
        <v>166</v>
      </c>
    </row>
    <row r="3577" spans="1:12">
      <c r="A3577" s="183" t="s">
        <v>5957</v>
      </c>
      <c r="B3577" s="183" t="s">
        <v>5894</v>
      </c>
      <c r="C3577">
        <v>8800322956953</v>
      </c>
      <c r="D3577">
        <v>170</v>
      </c>
      <c r="E3577">
        <v>0</v>
      </c>
      <c r="F3577">
        <v>0</v>
      </c>
      <c r="G3577">
        <v>0</v>
      </c>
      <c r="H3577">
        <v>170</v>
      </c>
      <c r="I3577" s="183" t="s">
        <v>5899</v>
      </c>
      <c r="J3577" s="183" t="s">
        <v>12050</v>
      </c>
      <c r="K3577">
        <v>0</v>
      </c>
      <c r="L3577">
        <v>170</v>
      </c>
    </row>
    <row r="3578" spans="1:12">
      <c r="A3578" s="183" t="s">
        <v>3690</v>
      </c>
      <c r="B3578" s="183" t="s">
        <v>979</v>
      </c>
      <c r="C3578">
        <v>35010212</v>
      </c>
      <c r="D3578">
        <v>143</v>
      </c>
      <c r="E3578">
        <v>0</v>
      </c>
      <c r="F3578">
        <v>26</v>
      </c>
      <c r="G3578">
        <v>0</v>
      </c>
      <c r="H3578">
        <v>169</v>
      </c>
      <c r="I3578" s="183" t="s">
        <v>980</v>
      </c>
      <c r="J3578" s="183" t="s">
        <v>12053</v>
      </c>
      <c r="K3578">
        <v>0</v>
      </c>
      <c r="L3578">
        <v>143</v>
      </c>
    </row>
    <row r="3579" spans="1:12">
      <c r="A3579" s="183" t="s">
        <v>3541</v>
      </c>
      <c r="B3579" s="183" t="s">
        <v>979</v>
      </c>
      <c r="C3579">
        <v>35010217</v>
      </c>
      <c r="D3579">
        <v>34</v>
      </c>
      <c r="E3579">
        <v>0</v>
      </c>
      <c r="F3579">
        <v>18</v>
      </c>
      <c r="G3579">
        <v>0</v>
      </c>
      <c r="H3579">
        <v>52</v>
      </c>
      <c r="I3579" s="183" t="s">
        <v>980</v>
      </c>
      <c r="J3579" s="183" t="s">
        <v>12057</v>
      </c>
      <c r="K3579">
        <v>0</v>
      </c>
      <c r="L3579">
        <v>34</v>
      </c>
    </row>
    <row r="3580" spans="1:12">
      <c r="A3580" s="183" t="s">
        <v>3539</v>
      </c>
      <c r="B3580" s="183" t="s">
        <v>979</v>
      </c>
      <c r="C3580">
        <v>35010218</v>
      </c>
      <c r="D3580">
        <v>125</v>
      </c>
      <c r="E3580">
        <v>0</v>
      </c>
      <c r="F3580">
        <v>11</v>
      </c>
      <c r="G3580">
        <v>0</v>
      </c>
      <c r="H3580">
        <v>136</v>
      </c>
      <c r="I3580" s="183" t="s">
        <v>980</v>
      </c>
      <c r="J3580" s="183" t="s">
        <v>12054</v>
      </c>
      <c r="K3580">
        <v>0</v>
      </c>
      <c r="L3580">
        <v>125</v>
      </c>
    </row>
    <row r="3581" spans="1:12">
      <c r="A3581" s="183" t="s">
        <v>620</v>
      </c>
      <c r="B3581" s="183" t="s">
        <v>1008</v>
      </c>
      <c r="C3581">
        <v>35020216</v>
      </c>
      <c r="D3581">
        <v>53</v>
      </c>
      <c r="E3581">
        <v>0</v>
      </c>
      <c r="F3581">
        <v>65</v>
      </c>
      <c r="G3581">
        <v>0</v>
      </c>
      <c r="H3581">
        <v>118</v>
      </c>
      <c r="I3581" s="183" t="s">
        <v>1009</v>
      </c>
      <c r="J3581" s="183" t="s">
        <v>12094</v>
      </c>
      <c r="K3581">
        <v>0</v>
      </c>
      <c r="L3581">
        <v>53</v>
      </c>
    </row>
    <row r="3582" spans="1:12">
      <c r="A3582" s="183" t="s">
        <v>9117</v>
      </c>
      <c r="B3582" s="183" t="s">
        <v>8646</v>
      </c>
      <c r="C3582">
        <v>8800358456762</v>
      </c>
      <c r="D3582">
        <v>380</v>
      </c>
      <c r="E3582">
        <v>0</v>
      </c>
      <c r="F3582">
        <v>0</v>
      </c>
      <c r="G3582">
        <v>0</v>
      </c>
      <c r="H3582">
        <v>380</v>
      </c>
      <c r="I3582" s="183" t="s">
        <v>9000</v>
      </c>
      <c r="J3582" s="183" t="s">
        <v>12055</v>
      </c>
      <c r="K3582">
        <v>0</v>
      </c>
      <c r="L3582">
        <v>380</v>
      </c>
    </row>
    <row r="3583" spans="1:12">
      <c r="A3583" s="183" t="s">
        <v>9118</v>
      </c>
      <c r="B3583" s="183" t="s">
        <v>8646</v>
      </c>
      <c r="C3583">
        <v>8800358456786</v>
      </c>
      <c r="D3583">
        <v>340</v>
      </c>
      <c r="E3583">
        <v>0</v>
      </c>
      <c r="F3583">
        <v>0</v>
      </c>
      <c r="G3583">
        <v>0</v>
      </c>
      <c r="H3583">
        <v>340</v>
      </c>
      <c r="I3583" s="183" t="s">
        <v>9000</v>
      </c>
      <c r="J3583" s="183" t="s">
        <v>12063</v>
      </c>
      <c r="K3583">
        <v>0</v>
      </c>
      <c r="L3583">
        <v>340</v>
      </c>
    </row>
    <row r="3584" spans="1:12">
      <c r="A3584" s="183" t="s">
        <v>9119</v>
      </c>
      <c r="B3584" s="183" t="s">
        <v>8646</v>
      </c>
      <c r="C3584">
        <v>8800358456847</v>
      </c>
      <c r="D3584">
        <v>380</v>
      </c>
      <c r="E3584">
        <v>0</v>
      </c>
      <c r="F3584">
        <v>0</v>
      </c>
      <c r="G3584">
        <v>0</v>
      </c>
      <c r="H3584">
        <v>380</v>
      </c>
      <c r="I3584" s="183" t="s">
        <v>9000</v>
      </c>
      <c r="J3584" s="183" t="s">
        <v>12050</v>
      </c>
      <c r="K3584">
        <v>0</v>
      </c>
      <c r="L3584">
        <v>380</v>
      </c>
    </row>
    <row r="3585" spans="1:12">
      <c r="A3585" s="183" t="s">
        <v>9120</v>
      </c>
      <c r="B3585" s="183" t="s">
        <v>8645</v>
      </c>
      <c r="C3585">
        <v>8800358456977</v>
      </c>
      <c r="D3585">
        <v>580</v>
      </c>
      <c r="E3585">
        <v>0</v>
      </c>
      <c r="F3585">
        <v>0</v>
      </c>
      <c r="G3585">
        <v>0</v>
      </c>
      <c r="H3585">
        <v>580</v>
      </c>
      <c r="I3585" s="183" t="s">
        <v>9002</v>
      </c>
      <c r="J3585" s="183" t="s">
        <v>12050</v>
      </c>
      <c r="K3585">
        <v>0</v>
      </c>
      <c r="L3585">
        <v>580</v>
      </c>
    </row>
    <row r="3586" spans="1:12">
      <c r="A3586" s="183" t="s">
        <v>9173</v>
      </c>
      <c r="B3586" s="183" t="s">
        <v>8645</v>
      </c>
      <c r="C3586">
        <v>8800358457004</v>
      </c>
      <c r="D3586">
        <v>441</v>
      </c>
      <c r="E3586">
        <v>0</v>
      </c>
      <c r="F3586">
        <v>0</v>
      </c>
      <c r="G3586">
        <v>0</v>
      </c>
      <c r="H3586">
        <v>441</v>
      </c>
      <c r="I3586" s="183" t="s">
        <v>9002</v>
      </c>
      <c r="J3586" s="183" t="s">
        <v>12063</v>
      </c>
      <c r="K3586">
        <v>0</v>
      </c>
      <c r="L3586">
        <v>441</v>
      </c>
    </row>
    <row r="3587" spans="1:12">
      <c r="A3587" s="183" t="s">
        <v>9174</v>
      </c>
      <c r="B3587" s="183" t="s">
        <v>8645</v>
      </c>
      <c r="C3587">
        <v>8800358457011</v>
      </c>
      <c r="D3587">
        <v>359</v>
      </c>
      <c r="E3587">
        <v>0</v>
      </c>
      <c r="F3587">
        <v>0</v>
      </c>
      <c r="G3587">
        <v>0</v>
      </c>
      <c r="H3587">
        <v>359</v>
      </c>
      <c r="I3587" s="183" t="s">
        <v>9002</v>
      </c>
      <c r="J3587" s="183" t="s">
        <v>12087</v>
      </c>
      <c r="K3587">
        <v>0</v>
      </c>
      <c r="L3587">
        <v>359</v>
      </c>
    </row>
    <row r="3588" spans="1:12">
      <c r="A3588" s="183" t="s">
        <v>8826</v>
      </c>
      <c r="B3588" s="183" t="s">
        <v>8648</v>
      </c>
      <c r="C3588">
        <v>8800358457141</v>
      </c>
      <c r="D3588">
        <v>351</v>
      </c>
      <c r="E3588">
        <v>0</v>
      </c>
      <c r="F3588">
        <v>0</v>
      </c>
      <c r="G3588">
        <v>0</v>
      </c>
      <c r="H3588">
        <v>351</v>
      </c>
      <c r="I3588" s="183" t="s">
        <v>8824</v>
      </c>
      <c r="J3588" s="183" t="s">
        <v>12050</v>
      </c>
      <c r="K3588">
        <v>0</v>
      </c>
      <c r="L3588">
        <v>351</v>
      </c>
    </row>
    <row r="3589" spans="1:12">
      <c r="A3589" s="183" t="s">
        <v>8827</v>
      </c>
      <c r="B3589" s="183" t="s">
        <v>8648</v>
      </c>
      <c r="C3589">
        <v>8800358457172</v>
      </c>
      <c r="D3589">
        <v>257</v>
      </c>
      <c r="E3589">
        <v>0</v>
      </c>
      <c r="F3589">
        <v>0</v>
      </c>
      <c r="G3589">
        <v>0</v>
      </c>
      <c r="H3589">
        <v>257</v>
      </c>
      <c r="I3589" s="183" t="s">
        <v>8824</v>
      </c>
      <c r="J3589" s="183" t="s">
        <v>12066</v>
      </c>
      <c r="K3589">
        <v>0</v>
      </c>
      <c r="L3589">
        <v>257</v>
      </c>
    </row>
    <row r="3590" spans="1:12">
      <c r="A3590" s="183" t="s">
        <v>8828</v>
      </c>
      <c r="B3590" s="183" t="s">
        <v>8648</v>
      </c>
      <c r="C3590">
        <v>8800358457288</v>
      </c>
      <c r="D3590">
        <v>177</v>
      </c>
      <c r="E3590">
        <v>0</v>
      </c>
      <c r="F3590">
        <v>0</v>
      </c>
      <c r="G3590">
        <v>0</v>
      </c>
      <c r="H3590">
        <v>177</v>
      </c>
      <c r="I3590" s="183" t="s">
        <v>8824</v>
      </c>
      <c r="J3590" s="183" t="s">
        <v>12095</v>
      </c>
      <c r="K3590">
        <v>0</v>
      </c>
      <c r="L3590">
        <v>177</v>
      </c>
    </row>
    <row r="3591" spans="1:12">
      <c r="A3591" s="183" t="s">
        <v>8829</v>
      </c>
      <c r="B3591" s="183" t="s">
        <v>8648</v>
      </c>
      <c r="C3591">
        <v>8800358457370</v>
      </c>
      <c r="D3591">
        <v>236</v>
      </c>
      <c r="E3591">
        <v>0</v>
      </c>
      <c r="F3591">
        <v>0</v>
      </c>
      <c r="G3591">
        <v>0</v>
      </c>
      <c r="H3591">
        <v>236</v>
      </c>
      <c r="I3591" s="183" t="s">
        <v>8824</v>
      </c>
      <c r="J3591" s="183" t="s">
        <v>12063</v>
      </c>
      <c r="K3591">
        <v>0</v>
      </c>
      <c r="L3591">
        <v>236</v>
      </c>
    </row>
    <row r="3592" spans="1:12">
      <c r="A3592" s="183" t="s">
        <v>8674</v>
      </c>
      <c r="B3592" s="183" t="s">
        <v>8648</v>
      </c>
      <c r="C3592">
        <v>8800358457455</v>
      </c>
      <c r="D3592">
        <v>305</v>
      </c>
      <c r="E3592">
        <v>0</v>
      </c>
      <c r="F3592">
        <v>0</v>
      </c>
      <c r="G3592">
        <v>0</v>
      </c>
      <c r="H3592">
        <v>305</v>
      </c>
      <c r="I3592" s="183" t="s">
        <v>8649</v>
      </c>
      <c r="J3592" s="183" t="s">
        <v>12061</v>
      </c>
      <c r="K3592">
        <v>0</v>
      </c>
      <c r="L3592">
        <v>305</v>
      </c>
    </row>
    <row r="3593" spans="1:12">
      <c r="A3593" s="183" t="s">
        <v>8671</v>
      </c>
      <c r="B3593" s="183" t="s">
        <v>8648</v>
      </c>
      <c r="C3593">
        <v>8800358457523</v>
      </c>
      <c r="D3593">
        <v>253</v>
      </c>
      <c r="E3593">
        <v>0</v>
      </c>
      <c r="F3593">
        <v>0</v>
      </c>
      <c r="G3593">
        <v>0</v>
      </c>
      <c r="H3593">
        <v>253</v>
      </c>
      <c r="I3593" s="183" t="s">
        <v>8649</v>
      </c>
      <c r="J3593" s="183" t="s">
        <v>12050</v>
      </c>
      <c r="K3593">
        <v>0</v>
      </c>
      <c r="L3593">
        <v>253</v>
      </c>
    </row>
    <row r="3594" spans="1:12">
      <c r="A3594" s="183" t="s">
        <v>9121</v>
      </c>
      <c r="B3594" s="183" t="s">
        <v>9004</v>
      </c>
      <c r="C3594">
        <v>8800358459008</v>
      </c>
      <c r="D3594">
        <v>130</v>
      </c>
      <c r="E3594">
        <v>0</v>
      </c>
      <c r="F3594">
        <v>0</v>
      </c>
      <c r="G3594">
        <v>0</v>
      </c>
      <c r="H3594">
        <v>130</v>
      </c>
      <c r="I3594" s="183" t="s">
        <v>9005</v>
      </c>
      <c r="J3594" s="183" t="s">
        <v>12048</v>
      </c>
      <c r="K3594">
        <v>0</v>
      </c>
      <c r="L3594">
        <v>130</v>
      </c>
    </row>
    <row r="3595" spans="1:12">
      <c r="A3595" s="183" t="s">
        <v>9122</v>
      </c>
      <c r="B3595" s="183" t="s">
        <v>9004</v>
      </c>
      <c r="C3595">
        <v>8800358459091</v>
      </c>
      <c r="D3595">
        <v>130</v>
      </c>
      <c r="E3595">
        <v>0</v>
      </c>
      <c r="F3595">
        <v>0</v>
      </c>
      <c r="G3595">
        <v>0</v>
      </c>
      <c r="H3595">
        <v>130</v>
      </c>
      <c r="I3595" s="183" t="s">
        <v>9005</v>
      </c>
      <c r="J3595" s="183" t="s">
        <v>12097</v>
      </c>
      <c r="K3595">
        <v>0</v>
      </c>
      <c r="L3595">
        <v>130</v>
      </c>
    </row>
    <row r="3596" spans="1:12">
      <c r="A3596" s="183" t="s">
        <v>9123</v>
      </c>
      <c r="B3596" s="183" t="s">
        <v>9008</v>
      </c>
      <c r="C3596">
        <v>8800358459305</v>
      </c>
      <c r="D3596">
        <v>130</v>
      </c>
      <c r="E3596">
        <v>0</v>
      </c>
      <c r="F3596">
        <v>0</v>
      </c>
      <c r="G3596">
        <v>0</v>
      </c>
      <c r="H3596">
        <v>130</v>
      </c>
      <c r="I3596" s="183" t="s">
        <v>9009</v>
      </c>
      <c r="J3596" s="183" t="s">
        <v>12063</v>
      </c>
      <c r="K3596">
        <v>0</v>
      </c>
      <c r="L3596">
        <v>130</v>
      </c>
    </row>
    <row r="3597" spans="1:12">
      <c r="A3597" s="183" t="s">
        <v>9124</v>
      </c>
      <c r="B3597" s="183" t="s">
        <v>9008</v>
      </c>
      <c r="C3597">
        <v>8800358459404</v>
      </c>
      <c r="D3597">
        <v>130</v>
      </c>
      <c r="E3597">
        <v>0</v>
      </c>
      <c r="F3597">
        <v>0</v>
      </c>
      <c r="G3597">
        <v>0</v>
      </c>
      <c r="H3597">
        <v>130</v>
      </c>
      <c r="I3597" s="183" t="s">
        <v>9009</v>
      </c>
      <c r="J3597" s="183" t="s">
        <v>12066</v>
      </c>
      <c r="K3597">
        <v>0</v>
      </c>
      <c r="L3597">
        <v>130</v>
      </c>
    </row>
    <row r="3598" spans="1:12">
      <c r="A3598" s="183" t="s">
        <v>9125</v>
      </c>
      <c r="B3598" s="183" t="s">
        <v>9008</v>
      </c>
      <c r="C3598">
        <v>8800358459442</v>
      </c>
      <c r="D3598">
        <v>130</v>
      </c>
      <c r="E3598">
        <v>0</v>
      </c>
      <c r="F3598">
        <v>0</v>
      </c>
      <c r="G3598">
        <v>0</v>
      </c>
      <c r="H3598">
        <v>130</v>
      </c>
      <c r="I3598" s="183" t="s">
        <v>9009</v>
      </c>
      <c r="J3598" s="183" t="s">
        <v>12050</v>
      </c>
      <c r="K3598">
        <v>0</v>
      </c>
      <c r="L3598">
        <v>130</v>
      </c>
    </row>
    <row r="3599" spans="1:12">
      <c r="A3599" s="183" t="s">
        <v>9126</v>
      </c>
      <c r="B3599" s="183" t="s">
        <v>9008</v>
      </c>
      <c r="C3599">
        <v>8800358459459</v>
      </c>
      <c r="D3599">
        <v>130</v>
      </c>
      <c r="E3599">
        <v>0</v>
      </c>
      <c r="F3599">
        <v>0</v>
      </c>
      <c r="G3599">
        <v>0</v>
      </c>
      <c r="H3599">
        <v>130</v>
      </c>
      <c r="I3599" s="183" t="s">
        <v>9009</v>
      </c>
      <c r="J3599" s="183" t="s">
        <v>12061</v>
      </c>
      <c r="K3599">
        <v>0</v>
      </c>
      <c r="L3599">
        <v>130</v>
      </c>
    </row>
    <row r="3600" spans="1:12">
      <c r="A3600" s="183" t="s">
        <v>9127</v>
      </c>
      <c r="B3600" s="183" t="s">
        <v>9013</v>
      </c>
      <c r="C3600">
        <v>8800358459664</v>
      </c>
      <c r="D3600">
        <v>130</v>
      </c>
      <c r="E3600">
        <v>0</v>
      </c>
      <c r="F3600">
        <v>0</v>
      </c>
      <c r="G3600">
        <v>0</v>
      </c>
      <c r="H3600">
        <v>130</v>
      </c>
      <c r="I3600" s="183" t="s">
        <v>9014</v>
      </c>
      <c r="J3600" s="183" t="s">
        <v>12050</v>
      </c>
      <c r="K3600">
        <v>0</v>
      </c>
      <c r="L3600">
        <v>130</v>
      </c>
    </row>
    <row r="3601" spans="1:12">
      <c r="A3601" s="183" t="s">
        <v>8793</v>
      </c>
      <c r="B3601" s="183" t="s">
        <v>8776</v>
      </c>
      <c r="C3601">
        <v>8800358459718</v>
      </c>
      <c r="D3601">
        <v>200</v>
      </c>
      <c r="E3601">
        <v>0</v>
      </c>
      <c r="F3601">
        <v>0</v>
      </c>
      <c r="G3601">
        <v>0</v>
      </c>
      <c r="H3601">
        <v>200</v>
      </c>
      <c r="I3601" s="183" t="s">
        <v>8777</v>
      </c>
      <c r="J3601" s="183" t="s">
        <v>12050</v>
      </c>
      <c r="K3601">
        <v>0</v>
      </c>
      <c r="L3601">
        <v>200</v>
      </c>
    </row>
    <row r="3602" spans="1:12">
      <c r="A3602" s="183" t="s">
        <v>8794</v>
      </c>
      <c r="B3602" s="183" t="s">
        <v>8776</v>
      </c>
      <c r="C3602">
        <v>8800358459794</v>
      </c>
      <c r="D3602">
        <v>130</v>
      </c>
      <c r="E3602">
        <v>0</v>
      </c>
      <c r="F3602">
        <v>0</v>
      </c>
      <c r="G3602">
        <v>0</v>
      </c>
      <c r="H3602">
        <v>130</v>
      </c>
      <c r="I3602" s="183" t="s">
        <v>8777</v>
      </c>
      <c r="J3602" s="183" t="s">
        <v>12050</v>
      </c>
      <c r="K3602">
        <v>0</v>
      </c>
      <c r="L3602">
        <v>130</v>
      </c>
    </row>
    <row r="3603" spans="1:12">
      <c r="A3603" s="183" t="s">
        <v>8795</v>
      </c>
      <c r="B3603" s="183" t="s">
        <v>8776</v>
      </c>
      <c r="C3603">
        <v>8800358459824</v>
      </c>
      <c r="D3603">
        <v>130</v>
      </c>
      <c r="E3603">
        <v>0</v>
      </c>
      <c r="F3603">
        <v>0</v>
      </c>
      <c r="G3603">
        <v>0</v>
      </c>
      <c r="H3603">
        <v>130</v>
      </c>
      <c r="I3603" s="183" t="s">
        <v>8777</v>
      </c>
      <c r="J3603" s="183" t="s">
        <v>12055</v>
      </c>
      <c r="K3603">
        <v>0</v>
      </c>
      <c r="L3603">
        <v>130</v>
      </c>
    </row>
    <row r="3604" spans="1:12">
      <c r="A3604" s="183" t="s">
        <v>8796</v>
      </c>
      <c r="B3604" s="183" t="s">
        <v>8776</v>
      </c>
      <c r="C3604">
        <v>8800358459862</v>
      </c>
      <c r="D3604">
        <v>130</v>
      </c>
      <c r="E3604">
        <v>0</v>
      </c>
      <c r="F3604">
        <v>0</v>
      </c>
      <c r="G3604">
        <v>0</v>
      </c>
      <c r="H3604">
        <v>130</v>
      </c>
      <c r="I3604" s="183" t="s">
        <v>8777</v>
      </c>
      <c r="J3604" s="183" t="s">
        <v>12061</v>
      </c>
      <c r="K3604">
        <v>0</v>
      </c>
      <c r="L3604">
        <v>130</v>
      </c>
    </row>
    <row r="3605" spans="1:12">
      <c r="A3605" s="183" t="s">
        <v>8797</v>
      </c>
      <c r="B3605" s="183" t="s">
        <v>8776</v>
      </c>
      <c r="C3605">
        <v>8800358459916</v>
      </c>
      <c r="D3605">
        <v>130</v>
      </c>
      <c r="E3605">
        <v>0</v>
      </c>
      <c r="F3605">
        <v>0</v>
      </c>
      <c r="G3605">
        <v>0</v>
      </c>
      <c r="H3605">
        <v>130</v>
      </c>
      <c r="I3605" s="183" t="s">
        <v>8777</v>
      </c>
      <c r="J3605" s="183" t="s">
        <v>12061</v>
      </c>
      <c r="K3605">
        <v>0</v>
      </c>
      <c r="L3605">
        <v>130</v>
      </c>
    </row>
    <row r="3606" spans="1:12">
      <c r="A3606" s="183" t="s">
        <v>8949</v>
      </c>
      <c r="B3606" s="183" t="s">
        <v>8927</v>
      </c>
      <c r="C3606">
        <v>8800358459992</v>
      </c>
      <c r="D3606">
        <v>135</v>
      </c>
      <c r="E3606">
        <v>0</v>
      </c>
      <c r="F3606">
        <v>0</v>
      </c>
      <c r="G3606">
        <v>0</v>
      </c>
      <c r="H3606">
        <v>135</v>
      </c>
      <c r="I3606" s="183" t="s">
        <v>8928</v>
      </c>
      <c r="J3606" s="183" t="s">
        <v>12055</v>
      </c>
      <c r="K3606">
        <v>0</v>
      </c>
      <c r="L3606">
        <v>135</v>
      </c>
    </row>
    <row r="3607" spans="1:12">
      <c r="A3607" s="183" t="s">
        <v>8950</v>
      </c>
      <c r="B3607" s="183" t="s">
        <v>8927</v>
      </c>
      <c r="C3607">
        <v>8800358460035</v>
      </c>
      <c r="D3607">
        <v>135</v>
      </c>
      <c r="E3607">
        <v>0</v>
      </c>
      <c r="F3607">
        <v>0</v>
      </c>
      <c r="G3607">
        <v>0</v>
      </c>
      <c r="H3607">
        <v>135</v>
      </c>
      <c r="I3607" s="183" t="s">
        <v>8928</v>
      </c>
      <c r="J3607" s="183" t="s">
        <v>12063</v>
      </c>
      <c r="K3607">
        <v>0</v>
      </c>
      <c r="L3607">
        <v>135</v>
      </c>
    </row>
    <row r="3608" spans="1:12">
      <c r="A3608" s="183" t="s">
        <v>8741</v>
      </c>
      <c r="B3608" s="183" t="s">
        <v>8688</v>
      </c>
      <c r="C3608">
        <v>8800358460356</v>
      </c>
      <c r="D3608">
        <v>135</v>
      </c>
      <c r="E3608">
        <v>0</v>
      </c>
      <c r="F3608">
        <v>0</v>
      </c>
      <c r="G3608">
        <v>0</v>
      </c>
      <c r="H3608">
        <v>135</v>
      </c>
      <c r="I3608" s="183" t="s">
        <v>8689</v>
      </c>
      <c r="J3608" s="183" t="s">
        <v>12066</v>
      </c>
      <c r="K3608">
        <v>0</v>
      </c>
      <c r="L3608">
        <v>135</v>
      </c>
    </row>
    <row r="3609" spans="1:12">
      <c r="A3609" s="183" t="s">
        <v>8742</v>
      </c>
      <c r="B3609" s="183" t="s">
        <v>8688</v>
      </c>
      <c r="C3609">
        <v>8800358460387</v>
      </c>
      <c r="D3609">
        <v>45</v>
      </c>
      <c r="E3609">
        <v>0</v>
      </c>
      <c r="F3609">
        <v>0</v>
      </c>
      <c r="G3609">
        <v>0</v>
      </c>
      <c r="H3609">
        <v>45</v>
      </c>
      <c r="I3609" s="183" t="s">
        <v>8689</v>
      </c>
      <c r="J3609" s="183" t="s">
        <v>12095</v>
      </c>
      <c r="K3609">
        <v>0</v>
      </c>
      <c r="L3609">
        <v>45</v>
      </c>
    </row>
    <row r="3610" spans="1:12">
      <c r="A3610" s="183" t="s">
        <v>8743</v>
      </c>
      <c r="B3610" s="183" t="s">
        <v>8688</v>
      </c>
      <c r="C3610">
        <v>8800358460479</v>
      </c>
      <c r="D3610">
        <v>15</v>
      </c>
      <c r="E3610">
        <v>0</v>
      </c>
      <c r="F3610">
        <v>0</v>
      </c>
      <c r="G3610">
        <v>0</v>
      </c>
      <c r="H3610">
        <v>15</v>
      </c>
      <c r="I3610" s="183" t="s">
        <v>8689</v>
      </c>
      <c r="J3610" s="183" t="s">
        <v>12095</v>
      </c>
      <c r="K3610">
        <v>0</v>
      </c>
      <c r="L3610">
        <v>15</v>
      </c>
    </row>
    <row r="3611" spans="1:12">
      <c r="A3611" s="183" t="s">
        <v>8744</v>
      </c>
      <c r="B3611" s="183" t="s">
        <v>8692</v>
      </c>
      <c r="C3611">
        <v>8800358460585</v>
      </c>
      <c r="D3611">
        <v>135</v>
      </c>
      <c r="E3611">
        <v>0</v>
      </c>
      <c r="F3611">
        <v>0</v>
      </c>
      <c r="G3611">
        <v>0</v>
      </c>
      <c r="H3611">
        <v>135</v>
      </c>
      <c r="I3611" s="183" t="s">
        <v>8693</v>
      </c>
      <c r="J3611" s="183" t="s">
        <v>12066</v>
      </c>
      <c r="K3611">
        <v>0</v>
      </c>
      <c r="L3611">
        <v>135</v>
      </c>
    </row>
    <row r="3612" spans="1:12">
      <c r="A3612" s="183" t="s">
        <v>8745</v>
      </c>
      <c r="B3612" s="183" t="s">
        <v>8692</v>
      </c>
      <c r="C3612">
        <v>8800358460592</v>
      </c>
      <c r="D3612">
        <v>135</v>
      </c>
      <c r="E3612">
        <v>0</v>
      </c>
      <c r="F3612">
        <v>0</v>
      </c>
      <c r="G3612">
        <v>0</v>
      </c>
      <c r="H3612">
        <v>135</v>
      </c>
      <c r="I3612" s="183" t="s">
        <v>8693</v>
      </c>
      <c r="J3612" s="183" t="s">
        <v>12055</v>
      </c>
      <c r="K3612">
        <v>0</v>
      </c>
      <c r="L3612">
        <v>135</v>
      </c>
    </row>
    <row r="3613" spans="1:12">
      <c r="A3613" s="183" t="s">
        <v>8746</v>
      </c>
      <c r="B3613" s="183" t="s">
        <v>8692</v>
      </c>
      <c r="C3613">
        <v>8800358460653</v>
      </c>
      <c r="D3613">
        <v>45</v>
      </c>
      <c r="E3613">
        <v>0</v>
      </c>
      <c r="F3613">
        <v>0</v>
      </c>
      <c r="G3613">
        <v>0</v>
      </c>
      <c r="H3613">
        <v>45</v>
      </c>
      <c r="I3613" s="183" t="s">
        <v>8693</v>
      </c>
      <c r="J3613" s="183" t="s">
        <v>12050</v>
      </c>
      <c r="K3613">
        <v>0</v>
      </c>
      <c r="L3613">
        <v>45</v>
      </c>
    </row>
    <row r="3614" spans="1:12">
      <c r="A3614" s="183" t="s">
        <v>8747</v>
      </c>
      <c r="B3614" s="183" t="s">
        <v>8692</v>
      </c>
      <c r="C3614">
        <v>8800358460714</v>
      </c>
      <c r="D3614">
        <v>15</v>
      </c>
      <c r="E3614">
        <v>0</v>
      </c>
      <c r="F3614">
        <v>0</v>
      </c>
      <c r="G3614">
        <v>0</v>
      </c>
      <c r="H3614">
        <v>15</v>
      </c>
      <c r="I3614" s="183" t="s">
        <v>8693</v>
      </c>
      <c r="J3614" s="183" t="s">
        <v>12095</v>
      </c>
      <c r="K3614">
        <v>0</v>
      </c>
      <c r="L3614">
        <v>15</v>
      </c>
    </row>
    <row r="3615" spans="1:12">
      <c r="A3615" s="183" t="s">
        <v>8748</v>
      </c>
      <c r="B3615" s="183" t="s">
        <v>8698</v>
      </c>
      <c r="C3615">
        <v>8800358460745</v>
      </c>
      <c r="D3615">
        <v>255</v>
      </c>
      <c r="E3615">
        <v>0</v>
      </c>
      <c r="F3615">
        <v>0</v>
      </c>
      <c r="G3615">
        <v>0</v>
      </c>
      <c r="H3615">
        <v>255</v>
      </c>
      <c r="I3615" s="183" t="s">
        <v>8699</v>
      </c>
      <c r="J3615" s="183" t="s">
        <v>12055</v>
      </c>
      <c r="K3615">
        <v>0</v>
      </c>
      <c r="L3615">
        <v>255</v>
      </c>
    </row>
    <row r="3616" spans="1:12">
      <c r="A3616" s="183" t="s">
        <v>8749</v>
      </c>
      <c r="B3616" s="183" t="s">
        <v>8698</v>
      </c>
      <c r="C3616">
        <v>8800358460936</v>
      </c>
      <c r="D3616">
        <v>45</v>
      </c>
      <c r="E3616">
        <v>0</v>
      </c>
      <c r="F3616">
        <v>0</v>
      </c>
      <c r="G3616">
        <v>0</v>
      </c>
      <c r="H3616">
        <v>45</v>
      </c>
      <c r="I3616" s="183" t="s">
        <v>8699</v>
      </c>
      <c r="J3616" s="183" t="s">
        <v>12050</v>
      </c>
      <c r="K3616">
        <v>0</v>
      </c>
      <c r="L3616">
        <v>45</v>
      </c>
    </row>
    <row r="3617" spans="1:12">
      <c r="A3617" s="183" t="s">
        <v>5367</v>
      </c>
      <c r="B3617" s="183" t="s">
        <v>5246</v>
      </c>
      <c r="C3617">
        <v>8800322947708</v>
      </c>
      <c r="D3617">
        <v>50</v>
      </c>
      <c r="E3617">
        <v>0</v>
      </c>
      <c r="F3617">
        <v>0</v>
      </c>
      <c r="G3617">
        <v>0</v>
      </c>
      <c r="H3617">
        <v>50</v>
      </c>
      <c r="I3617" s="183" t="s">
        <v>5247</v>
      </c>
      <c r="J3617" s="183" t="s">
        <v>12066</v>
      </c>
      <c r="K3617">
        <v>0</v>
      </c>
      <c r="L3617">
        <v>50</v>
      </c>
    </row>
    <row r="3618" spans="1:12">
      <c r="A3618" s="183" t="s">
        <v>5814</v>
      </c>
      <c r="B3618" s="183" t="s">
        <v>5246</v>
      </c>
      <c r="C3618">
        <v>8800322948705</v>
      </c>
      <c r="D3618">
        <v>50</v>
      </c>
      <c r="E3618">
        <v>0</v>
      </c>
      <c r="F3618">
        <v>0</v>
      </c>
      <c r="G3618">
        <v>0</v>
      </c>
      <c r="H3618">
        <v>50</v>
      </c>
      <c r="I3618" s="183" t="s">
        <v>5247</v>
      </c>
      <c r="J3618" s="183" t="s">
        <v>12048</v>
      </c>
      <c r="K3618">
        <v>0</v>
      </c>
      <c r="L3618">
        <v>50</v>
      </c>
    </row>
    <row r="3619" spans="1:12">
      <c r="A3619" s="183" t="s">
        <v>5815</v>
      </c>
      <c r="B3619" s="183" t="s">
        <v>5246</v>
      </c>
      <c r="C3619">
        <v>8800322949450</v>
      </c>
      <c r="D3619">
        <v>50</v>
      </c>
      <c r="E3619">
        <v>0</v>
      </c>
      <c r="F3619">
        <v>0</v>
      </c>
      <c r="G3619">
        <v>0</v>
      </c>
      <c r="H3619">
        <v>50</v>
      </c>
      <c r="I3619" s="183" t="s">
        <v>5247</v>
      </c>
      <c r="J3619" s="183" t="s">
        <v>12087</v>
      </c>
      <c r="K3619">
        <v>0</v>
      </c>
      <c r="L3619">
        <v>50</v>
      </c>
    </row>
    <row r="3620" spans="1:12">
      <c r="A3620" s="183" t="s">
        <v>5368</v>
      </c>
      <c r="B3620" s="183" t="s">
        <v>5246</v>
      </c>
      <c r="C3620">
        <v>8800322946718</v>
      </c>
      <c r="D3620">
        <v>50</v>
      </c>
      <c r="E3620">
        <v>0</v>
      </c>
      <c r="F3620">
        <v>0</v>
      </c>
      <c r="G3620">
        <v>0</v>
      </c>
      <c r="H3620">
        <v>50</v>
      </c>
      <c r="I3620" s="183" t="s">
        <v>5247</v>
      </c>
      <c r="J3620" s="183" t="s">
        <v>12048</v>
      </c>
      <c r="K3620">
        <v>0</v>
      </c>
      <c r="L3620">
        <v>50</v>
      </c>
    </row>
    <row r="3621" spans="1:12">
      <c r="A3621" s="183" t="s">
        <v>5369</v>
      </c>
      <c r="B3621" s="183" t="s">
        <v>5246</v>
      </c>
      <c r="C3621">
        <v>8800322950982</v>
      </c>
      <c r="D3621">
        <v>535</v>
      </c>
      <c r="E3621">
        <v>0</v>
      </c>
      <c r="F3621">
        <v>0</v>
      </c>
      <c r="G3621">
        <v>0</v>
      </c>
      <c r="H3621">
        <v>535</v>
      </c>
      <c r="I3621" s="183" t="s">
        <v>5247</v>
      </c>
      <c r="J3621" s="183" t="s">
        <v>12063</v>
      </c>
      <c r="K3621">
        <v>0</v>
      </c>
      <c r="L3621">
        <v>535</v>
      </c>
    </row>
    <row r="3622" spans="1:12">
      <c r="A3622" s="183" t="s">
        <v>5370</v>
      </c>
      <c r="B3622" s="183" t="s">
        <v>5251</v>
      </c>
      <c r="C3622">
        <v>8800322948248</v>
      </c>
      <c r="D3622">
        <v>50</v>
      </c>
      <c r="E3622">
        <v>0</v>
      </c>
      <c r="F3622">
        <v>0</v>
      </c>
      <c r="G3622">
        <v>0</v>
      </c>
      <c r="H3622">
        <v>50</v>
      </c>
      <c r="I3622" s="183" t="s">
        <v>5247</v>
      </c>
      <c r="J3622" s="183" t="s">
        <v>12095</v>
      </c>
      <c r="K3622">
        <v>0</v>
      </c>
      <c r="L3622">
        <v>50</v>
      </c>
    </row>
    <row r="3623" spans="1:12">
      <c r="A3623" s="183" t="s">
        <v>9052</v>
      </c>
      <c r="B3623" s="183" t="s">
        <v>9004</v>
      </c>
      <c r="C3623">
        <v>8800358459220</v>
      </c>
      <c r="D3623">
        <v>130</v>
      </c>
      <c r="E3623">
        <v>0</v>
      </c>
      <c r="F3623">
        <v>0</v>
      </c>
      <c r="G3623">
        <v>0</v>
      </c>
      <c r="H3623">
        <v>130</v>
      </c>
      <c r="I3623" s="183" t="s">
        <v>9005</v>
      </c>
      <c r="J3623" s="183" t="s">
        <v>12095</v>
      </c>
      <c r="K3623">
        <v>0</v>
      </c>
      <c r="L3623">
        <v>130</v>
      </c>
    </row>
    <row r="3624" spans="1:12">
      <c r="A3624" s="183" t="s">
        <v>9053</v>
      </c>
      <c r="B3624" s="183" t="s">
        <v>9008</v>
      </c>
      <c r="C3624">
        <v>8800358459381</v>
      </c>
      <c r="D3624">
        <v>130</v>
      </c>
      <c r="E3624">
        <v>0</v>
      </c>
      <c r="F3624">
        <v>0</v>
      </c>
      <c r="G3624">
        <v>0</v>
      </c>
      <c r="H3624">
        <v>130</v>
      </c>
      <c r="I3624" s="183" t="s">
        <v>9009</v>
      </c>
      <c r="J3624" s="183" t="s">
        <v>12063</v>
      </c>
      <c r="K3624">
        <v>0</v>
      </c>
      <c r="L3624">
        <v>130</v>
      </c>
    </row>
    <row r="3625" spans="1:12">
      <c r="A3625" s="183" t="s">
        <v>9054</v>
      </c>
      <c r="B3625" s="183" t="s">
        <v>9013</v>
      </c>
      <c r="C3625">
        <v>8800358459527</v>
      </c>
      <c r="D3625">
        <v>130</v>
      </c>
      <c r="E3625">
        <v>0</v>
      </c>
      <c r="F3625">
        <v>0</v>
      </c>
      <c r="G3625">
        <v>0</v>
      </c>
      <c r="H3625">
        <v>130</v>
      </c>
      <c r="I3625" s="183" t="s">
        <v>9014</v>
      </c>
      <c r="J3625" s="183" t="s">
        <v>12050</v>
      </c>
      <c r="K3625">
        <v>0</v>
      </c>
      <c r="L3625">
        <v>130</v>
      </c>
    </row>
    <row r="3626" spans="1:12">
      <c r="A3626" s="183" t="s">
        <v>12022</v>
      </c>
      <c r="B3626" s="183" t="s">
        <v>9013</v>
      </c>
      <c r="C3626">
        <v>8800358459589</v>
      </c>
      <c r="D3626">
        <v>130</v>
      </c>
      <c r="E3626">
        <v>0</v>
      </c>
      <c r="F3626">
        <v>0</v>
      </c>
      <c r="G3626">
        <v>0</v>
      </c>
      <c r="H3626">
        <v>130</v>
      </c>
      <c r="I3626" s="183" t="s">
        <v>9014</v>
      </c>
      <c r="J3626" s="183" t="s">
        <v>12050</v>
      </c>
      <c r="K3626">
        <v>0</v>
      </c>
      <c r="L3626">
        <v>130</v>
      </c>
    </row>
    <row r="3627" spans="1:12">
      <c r="A3627" s="183" t="s">
        <v>9055</v>
      </c>
      <c r="B3627" s="183" t="s">
        <v>9013</v>
      </c>
      <c r="C3627">
        <v>8800358459671</v>
      </c>
      <c r="D3627">
        <v>130</v>
      </c>
      <c r="E3627">
        <v>0</v>
      </c>
      <c r="F3627">
        <v>0</v>
      </c>
      <c r="G3627">
        <v>0</v>
      </c>
      <c r="H3627">
        <v>130</v>
      </c>
      <c r="I3627" s="183" t="s">
        <v>9014</v>
      </c>
      <c r="J3627" s="183" t="s">
        <v>12063</v>
      </c>
      <c r="K3627">
        <v>0</v>
      </c>
      <c r="L3627">
        <v>130</v>
      </c>
    </row>
    <row r="3628" spans="1:12">
      <c r="A3628" s="183" t="s">
        <v>9056</v>
      </c>
      <c r="B3628" s="183" t="s">
        <v>9013</v>
      </c>
      <c r="C3628">
        <v>8800358459701</v>
      </c>
      <c r="D3628">
        <v>130</v>
      </c>
      <c r="E3628">
        <v>0</v>
      </c>
      <c r="F3628">
        <v>0</v>
      </c>
      <c r="G3628">
        <v>0</v>
      </c>
      <c r="H3628">
        <v>130</v>
      </c>
      <c r="I3628" s="183" t="s">
        <v>9014</v>
      </c>
      <c r="J3628" s="183" t="s">
        <v>12050</v>
      </c>
      <c r="K3628">
        <v>0</v>
      </c>
      <c r="L3628">
        <v>130</v>
      </c>
    </row>
    <row r="3629" spans="1:12">
      <c r="A3629" s="183" t="s">
        <v>8791</v>
      </c>
      <c r="B3629" s="183" t="s">
        <v>8776</v>
      </c>
      <c r="C3629">
        <v>8800358459749</v>
      </c>
      <c r="D3629">
        <v>130</v>
      </c>
      <c r="E3629">
        <v>0</v>
      </c>
      <c r="F3629">
        <v>0</v>
      </c>
      <c r="G3629">
        <v>0</v>
      </c>
      <c r="H3629">
        <v>130</v>
      </c>
      <c r="I3629" s="183" t="s">
        <v>8777</v>
      </c>
      <c r="J3629" s="183" t="s">
        <v>12066</v>
      </c>
      <c r="K3629">
        <v>0</v>
      </c>
      <c r="L3629">
        <v>130</v>
      </c>
    </row>
    <row r="3630" spans="1:12">
      <c r="A3630" s="183" t="s">
        <v>8792</v>
      </c>
      <c r="B3630" s="183" t="s">
        <v>8776</v>
      </c>
      <c r="C3630">
        <v>8800358459930</v>
      </c>
      <c r="D3630">
        <v>130</v>
      </c>
      <c r="E3630">
        <v>0</v>
      </c>
      <c r="F3630">
        <v>0</v>
      </c>
      <c r="G3630">
        <v>0</v>
      </c>
      <c r="H3630">
        <v>130</v>
      </c>
      <c r="I3630" s="183" t="s">
        <v>8777</v>
      </c>
      <c r="J3630" s="183" t="s">
        <v>12050</v>
      </c>
      <c r="K3630">
        <v>0</v>
      </c>
      <c r="L3630">
        <v>130</v>
      </c>
    </row>
    <row r="3631" spans="1:12">
      <c r="A3631" s="183" t="s">
        <v>8926</v>
      </c>
      <c r="B3631" s="183" t="s">
        <v>8927</v>
      </c>
      <c r="C3631">
        <v>8800358459985</v>
      </c>
      <c r="D3631">
        <v>165</v>
      </c>
      <c r="E3631">
        <v>0</v>
      </c>
      <c r="F3631">
        <v>0</v>
      </c>
      <c r="G3631">
        <v>0</v>
      </c>
      <c r="H3631">
        <v>165</v>
      </c>
      <c r="I3631" s="183" t="s">
        <v>8928</v>
      </c>
      <c r="J3631" s="183" t="s">
        <v>12055</v>
      </c>
      <c r="K3631">
        <v>0</v>
      </c>
      <c r="L3631">
        <v>165</v>
      </c>
    </row>
    <row r="3632" spans="1:12">
      <c r="A3632" s="183" t="s">
        <v>8929</v>
      </c>
      <c r="B3632" s="183" t="s">
        <v>8927</v>
      </c>
      <c r="C3632">
        <v>8800358460042</v>
      </c>
      <c r="D3632">
        <v>135</v>
      </c>
      <c r="E3632">
        <v>0</v>
      </c>
      <c r="F3632">
        <v>0</v>
      </c>
      <c r="G3632">
        <v>0</v>
      </c>
      <c r="H3632">
        <v>135</v>
      </c>
      <c r="I3632" s="183" t="s">
        <v>8928</v>
      </c>
      <c r="J3632" s="183" t="s">
        <v>12050</v>
      </c>
      <c r="K3632">
        <v>0</v>
      </c>
      <c r="L3632">
        <v>135</v>
      </c>
    </row>
    <row r="3633" spans="1:12">
      <c r="A3633" s="183" t="s">
        <v>8930</v>
      </c>
      <c r="B3633" s="183" t="s">
        <v>8927</v>
      </c>
      <c r="C3633">
        <v>8800358460141</v>
      </c>
      <c r="D3633">
        <v>45</v>
      </c>
      <c r="E3633">
        <v>0</v>
      </c>
      <c r="F3633">
        <v>0</v>
      </c>
      <c r="G3633">
        <v>0</v>
      </c>
      <c r="H3633">
        <v>45</v>
      </c>
      <c r="I3633" s="183" t="s">
        <v>8928</v>
      </c>
      <c r="J3633" s="183" t="s">
        <v>12095</v>
      </c>
      <c r="K3633">
        <v>0</v>
      </c>
      <c r="L3633">
        <v>45</v>
      </c>
    </row>
    <row r="3634" spans="1:12">
      <c r="A3634" s="183" t="s">
        <v>8750</v>
      </c>
      <c r="B3634" s="183" t="s">
        <v>8688</v>
      </c>
      <c r="C3634">
        <v>8800358460257</v>
      </c>
      <c r="D3634">
        <v>165</v>
      </c>
      <c r="E3634">
        <v>0</v>
      </c>
      <c r="F3634">
        <v>0</v>
      </c>
      <c r="G3634">
        <v>0</v>
      </c>
      <c r="H3634">
        <v>165</v>
      </c>
      <c r="I3634" s="183" t="s">
        <v>8689</v>
      </c>
      <c r="J3634" s="183" t="s">
        <v>12063</v>
      </c>
      <c r="K3634">
        <v>0</v>
      </c>
      <c r="L3634">
        <v>165</v>
      </c>
    </row>
    <row r="3635" spans="1:12">
      <c r="A3635" s="183" t="s">
        <v>8751</v>
      </c>
      <c r="B3635" s="183" t="s">
        <v>8688</v>
      </c>
      <c r="C3635">
        <v>8800358460271</v>
      </c>
      <c r="D3635">
        <v>135</v>
      </c>
      <c r="E3635">
        <v>0</v>
      </c>
      <c r="F3635">
        <v>0</v>
      </c>
      <c r="G3635">
        <v>0</v>
      </c>
      <c r="H3635">
        <v>135</v>
      </c>
      <c r="I3635" s="183" t="s">
        <v>8689</v>
      </c>
      <c r="J3635" s="183" t="s">
        <v>12048</v>
      </c>
      <c r="K3635">
        <v>0</v>
      </c>
      <c r="L3635">
        <v>135</v>
      </c>
    </row>
    <row r="3636" spans="1:12">
      <c r="A3636" s="183" t="s">
        <v>8752</v>
      </c>
      <c r="B3636" s="183" t="s">
        <v>8692</v>
      </c>
      <c r="C3636">
        <v>8800358460561</v>
      </c>
      <c r="D3636">
        <v>135</v>
      </c>
      <c r="E3636">
        <v>0</v>
      </c>
      <c r="F3636">
        <v>0</v>
      </c>
      <c r="G3636">
        <v>0</v>
      </c>
      <c r="H3636">
        <v>135</v>
      </c>
      <c r="I3636" s="183" t="s">
        <v>8693</v>
      </c>
      <c r="J3636" s="183" t="s">
        <v>12066</v>
      </c>
      <c r="K3636">
        <v>0</v>
      </c>
      <c r="L3636">
        <v>135</v>
      </c>
    </row>
    <row r="3637" spans="1:12">
      <c r="A3637" s="183" t="s">
        <v>8753</v>
      </c>
      <c r="B3637" s="183" t="s">
        <v>8692</v>
      </c>
      <c r="C3637">
        <v>8800358460608</v>
      </c>
      <c r="D3637">
        <v>135</v>
      </c>
      <c r="E3637">
        <v>0</v>
      </c>
      <c r="F3637">
        <v>0</v>
      </c>
      <c r="G3637">
        <v>0</v>
      </c>
      <c r="H3637">
        <v>135</v>
      </c>
      <c r="I3637" s="183" t="s">
        <v>8693</v>
      </c>
      <c r="J3637" s="183" t="s">
        <v>12063</v>
      </c>
      <c r="K3637">
        <v>0</v>
      </c>
      <c r="L3637">
        <v>135</v>
      </c>
    </row>
    <row r="3638" spans="1:12">
      <c r="A3638" s="183" t="s">
        <v>8754</v>
      </c>
      <c r="B3638" s="183" t="s">
        <v>8692</v>
      </c>
      <c r="C3638">
        <v>8800358460721</v>
      </c>
      <c r="D3638">
        <v>15</v>
      </c>
      <c r="E3638">
        <v>0</v>
      </c>
      <c r="F3638">
        <v>0</v>
      </c>
      <c r="G3638">
        <v>0</v>
      </c>
      <c r="H3638">
        <v>15</v>
      </c>
      <c r="I3638" s="183" t="s">
        <v>8693</v>
      </c>
      <c r="J3638" s="183" t="s">
        <v>12057</v>
      </c>
      <c r="K3638">
        <v>0</v>
      </c>
      <c r="L3638">
        <v>15</v>
      </c>
    </row>
    <row r="3639" spans="1:12">
      <c r="A3639" s="183" t="s">
        <v>8755</v>
      </c>
      <c r="B3639" s="183" t="s">
        <v>8698</v>
      </c>
      <c r="C3639">
        <v>8800358460882</v>
      </c>
      <c r="D3639">
        <v>45</v>
      </c>
      <c r="E3639">
        <v>0</v>
      </c>
      <c r="F3639">
        <v>0</v>
      </c>
      <c r="G3639">
        <v>0</v>
      </c>
      <c r="H3639">
        <v>45</v>
      </c>
      <c r="I3639" s="183" t="s">
        <v>8699</v>
      </c>
      <c r="J3639" s="183" t="s">
        <v>12050</v>
      </c>
      <c r="K3639">
        <v>0</v>
      </c>
      <c r="L3639">
        <v>45</v>
      </c>
    </row>
    <row r="3640" spans="1:12">
      <c r="A3640" s="183" t="s">
        <v>8756</v>
      </c>
      <c r="B3640" s="183" t="s">
        <v>8698</v>
      </c>
      <c r="C3640">
        <v>8800358460929</v>
      </c>
      <c r="D3640">
        <v>45</v>
      </c>
      <c r="E3640">
        <v>0</v>
      </c>
      <c r="F3640">
        <v>0</v>
      </c>
      <c r="G3640">
        <v>0</v>
      </c>
      <c r="H3640">
        <v>45</v>
      </c>
      <c r="I3640" s="183" t="s">
        <v>8699</v>
      </c>
      <c r="J3640" s="183" t="s">
        <v>12095</v>
      </c>
      <c r="K3640">
        <v>0</v>
      </c>
      <c r="L3640">
        <v>45</v>
      </c>
    </row>
    <row r="3641" spans="1:12">
      <c r="A3641" s="183" t="s">
        <v>8757</v>
      </c>
      <c r="B3641" s="183" t="s">
        <v>8698</v>
      </c>
      <c r="C3641">
        <v>8800358460981</v>
      </c>
      <c r="D3641">
        <v>15</v>
      </c>
      <c r="E3641">
        <v>0</v>
      </c>
      <c r="F3641">
        <v>0</v>
      </c>
      <c r="G3641">
        <v>0</v>
      </c>
      <c r="H3641">
        <v>15</v>
      </c>
      <c r="I3641" s="183" t="s">
        <v>8699</v>
      </c>
      <c r="J3641" s="183" t="s">
        <v>12055</v>
      </c>
      <c r="K3641">
        <v>0</v>
      </c>
      <c r="L3641">
        <v>15</v>
      </c>
    </row>
    <row r="3642" spans="1:12">
      <c r="A3642" s="183" t="s">
        <v>5310</v>
      </c>
      <c r="B3642" s="183" t="s">
        <v>5246</v>
      </c>
      <c r="C3642">
        <v>8800322948958</v>
      </c>
      <c r="D3642">
        <v>50</v>
      </c>
      <c r="E3642">
        <v>0</v>
      </c>
      <c r="F3642">
        <v>0</v>
      </c>
      <c r="G3642">
        <v>0</v>
      </c>
      <c r="H3642">
        <v>50</v>
      </c>
      <c r="I3642" s="183" t="s">
        <v>5247</v>
      </c>
      <c r="J3642" s="183" t="s">
        <v>12066</v>
      </c>
      <c r="K3642">
        <v>0</v>
      </c>
      <c r="L3642">
        <v>50</v>
      </c>
    </row>
    <row r="3643" spans="1:12">
      <c r="A3643" s="183" t="s">
        <v>5311</v>
      </c>
      <c r="B3643" s="183" t="s">
        <v>5246</v>
      </c>
      <c r="C3643">
        <v>8800322949702</v>
      </c>
      <c r="D3643">
        <v>50</v>
      </c>
      <c r="E3643">
        <v>0</v>
      </c>
      <c r="F3643">
        <v>0</v>
      </c>
      <c r="G3643">
        <v>0</v>
      </c>
      <c r="H3643">
        <v>50</v>
      </c>
      <c r="I3643" s="183" t="s">
        <v>5247</v>
      </c>
      <c r="J3643" s="183" t="s">
        <v>12087</v>
      </c>
      <c r="K3643">
        <v>0</v>
      </c>
      <c r="L3643">
        <v>50</v>
      </c>
    </row>
    <row r="3644" spans="1:12">
      <c r="A3644" s="183" t="s">
        <v>5312</v>
      </c>
      <c r="B3644" s="183" t="s">
        <v>5246</v>
      </c>
      <c r="C3644">
        <v>8800322946961</v>
      </c>
      <c r="D3644">
        <v>50</v>
      </c>
      <c r="E3644">
        <v>0</v>
      </c>
      <c r="F3644">
        <v>0</v>
      </c>
      <c r="G3644">
        <v>0</v>
      </c>
      <c r="H3644">
        <v>50</v>
      </c>
      <c r="I3644" s="183" t="s">
        <v>5247</v>
      </c>
      <c r="J3644" s="183" t="s">
        <v>12095</v>
      </c>
      <c r="K3644">
        <v>0</v>
      </c>
      <c r="L3644">
        <v>50</v>
      </c>
    </row>
    <row r="3645" spans="1:12">
      <c r="A3645" s="183" t="s">
        <v>5543</v>
      </c>
      <c r="B3645" s="183" t="s">
        <v>5246</v>
      </c>
      <c r="C3645">
        <v>8800322949214</v>
      </c>
      <c r="D3645">
        <v>50</v>
      </c>
      <c r="E3645">
        <v>0</v>
      </c>
      <c r="F3645">
        <v>0</v>
      </c>
      <c r="G3645">
        <v>0</v>
      </c>
      <c r="H3645">
        <v>50</v>
      </c>
      <c r="I3645" s="183" t="s">
        <v>5247</v>
      </c>
      <c r="J3645" s="183" t="s">
        <v>12066</v>
      </c>
      <c r="K3645">
        <v>0</v>
      </c>
      <c r="L3645">
        <v>50</v>
      </c>
    </row>
    <row r="3646" spans="1:12">
      <c r="A3646" s="183" t="s">
        <v>5313</v>
      </c>
      <c r="B3646" s="183" t="s">
        <v>5246</v>
      </c>
      <c r="C3646">
        <v>8800322950975</v>
      </c>
      <c r="D3646">
        <v>534</v>
      </c>
      <c r="E3646">
        <v>0</v>
      </c>
      <c r="F3646">
        <v>0</v>
      </c>
      <c r="G3646">
        <v>0</v>
      </c>
      <c r="H3646">
        <v>534</v>
      </c>
      <c r="I3646" s="183" t="s">
        <v>5247</v>
      </c>
      <c r="J3646" s="183" t="s">
        <v>12087</v>
      </c>
      <c r="K3646">
        <v>0</v>
      </c>
      <c r="L3646">
        <v>534</v>
      </c>
    </row>
    <row r="3647" spans="1:12">
      <c r="A3647" s="183" t="s">
        <v>5544</v>
      </c>
      <c r="B3647" s="183" t="s">
        <v>5246</v>
      </c>
      <c r="C3647">
        <v>8800322947739</v>
      </c>
      <c r="D3647">
        <v>50</v>
      </c>
      <c r="E3647">
        <v>0</v>
      </c>
      <c r="F3647">
        <v>0</v>
      </c>
      <c r="G3647">
        <v>0</v>
      </c>
      <c r="H3647">
        <v>50</v>
      </c>
      <c r="I3647" s="183" t="s">
        <v>5247</v>
      </c>
      <c r="J3647" s="183" t="s">
        <v>12087</v>
      </c>
      <c r="K3647">
        <v>0</v>
      </c>
      <c r="L3647">
        <v>50</v>
      </c>
    </row>
    <row r="3648" spans="1:12">
      <c r="A3648" s="183" t="s">
        <v>5545</v>
      </c>
      <c r="B3648" s="183" t="s">
        <v>5246</v>
      </c>
      <c r="C3648">
        <v>8800322948484</v>
      </c>
      <c r="D3648">
        <v>50</v>
      </c>
      <c r="E3648">
        <v>0</v>
      </c>
      <c r="F3648">
        <v>0</v>
      </c>
      <c r="G3648">
        <v>0</v>
      </c>
      <c r="H3648">
        <v>50</v>
      </c>
      <c r="I3648" s="183" t="s">
        <v>5247</v>
      </c>
      <c r="J3648" s="183" t="s">
        <v>12094</v>
      </c>
      <c r="K3648">
        <v>0</v>
      </c>
      <c r="L3648">
        <v>50</v>
      </c>
    </row>
    <row r="3649" spans="1:12">
      <c r="A3649" s="183" t="s">
        <v>5314</v>
      </c>
      <c r="B3649" s="183" t="s">
        <v>5246</v>
      </c>
      <c r="C3649">
        <v>8800322950746</v>
      </c>
      <c r="D3649">
        <v>529</v>
      </c>
      <c r="E3649">
        <v>0</v>
      </c>
      <c r="F3649">
        <v>0</v>
      </c>
      <c r="G3649">
        <v>0</v>
      </c>
      <c r="H3649">
        <v>529</v>
      </c>
      <c r="I3649" s="183" t="s">
        <v>5247</v>
      </c>
      <c r="J3649" s="183" t="s">
        <v>12085</v>
      </c>
      <c r="K3649">
        <v>0</v>
      </c>
      <c r="L3649">
        <v>529</v>
      </c>
    </row>
    <row r="3650" spans="1:12">
      <c r="A3650" s="183" t="s">
        <v>5546</v>
      </c>
      <c r="B3650" s="183" t="s">
        <v>5246</v>
      </c>
      <c r="C3650">
        <v>8800322947234</v>
      </c>
      <c r="D3650">
        <v>50</v>
      </c>
      <c r="E3650">
        <v>0</v>
      </c>
      <c r="F3650">
        <v>0</v>
      </c>
      <c r="G3650">
        <v>0</v>
      </c>
      <c r="H3650">
        <v>50</v>
      </c>
      <c r="I3650" s="183" t="s">
        <v>5247</v>
      </c>
      <c r="J3650" s="183" t="s">
        <v>12095</v>
      </c>
      <c r="K3650">
        <v>0</v>
      </c>
      <c r="L3650">
        <v>50</v>
      </c>
    </row>
    <row r="3651" spans="1:12">
      <c r="A3651" s="183" t="s">
        <v>5547</v>
      </c>
      <c r="B3651" s="183" t="s">
        <v>5251</v>
      </c>
      <c r="C3651">
        <v>8800322948507</v>
      </c>
      <c r="D3651">
        <v>50</v>
      </c>
      <c r="E3651">
        <v>0</v>
      </c>
      <c r="F3651">
        <v>0</v>
      </c>
      <c r="G3651">
        <v>0</v>
      </c>
      <c r="H3651">
        <v>50</v>
      </c>
      <c r="I3651" s="183" t="s">
        <v>5247</v>
      </c>
      <c r="J3651" s="183" t="s">
        <v>12095</v>
      </c>
      <c r="K3651">
        <v>0</v>
      </c>
      <c r="L3651">
        <v>50</v>
      </c>
    </row>
    <row r="3652" spans="1:12">
      <c r="A3652" s="183" t="s">
        <v>5315</v>
      </c>
      <c r="B3652" s="183" t="s">
        <v>5251</v>
      </c>
      <c r="C3652">
        <v>8800322950760</v>
      </c>
      <c r="D3652">
        <v>484</v>
      </c>
      <c r="E3652">
        <v>0</v>
      </c>
      <c r="F3652">
        <v>0</v>
      </c>
      <c r="G3652">
        <v>0</v>
      </c>
      <c r="H3652">
        <v>484</v>
      </c>
      <c r="I3652" s="183" t="s">
        <v>5247</v>
      </c>
      <c r="J3652" s="183" t="s">
        <v>12066</v>
      </c>
      <c r="K3652">
        <v>0</v>
      </c>
      <c r="L3652">
        <v>484</v>
      </c>
    </row>
    <row r="3653" spans="1:12">
      <c r="A3653" s="183" t="s">
        <v>5548</v>
      </c>
      <c r="B3653" s="183" t="s">
        <v>5251</v>
      </c>
      <c r="C3653">
        <v>8800322947258</v>
      </c>
      <c r="D3653">
        <v>50</v>
      </c>
      <c r="E3653">
        <v>0</v>
      </c>
      <c r="F3653">
        <v>0</v>
      </c>
      <c r="G3653">
        <v>0</v>
      </c>
      <c r="H3653">
        <v>50</v>
      </c>
      <c r="I3653" s="183" t="s">
        <v>5247</v>
      </c>
      <c r="J3653" s="183" t="s">
        <v>12055</v>
      </c>
      <c r="K3653">
        <v>0</v>
      </c>
      <c r="L3653">
        <v>50</v>
      </c>
    </row>
    <row r="3654" spans="1:12">
      <c r="A3654" s="183" t="s">
        <v>5800</v>
      </c>
      <c r="B3654" s="183" t="s">
        <v>5251</v>
      </c>
      <c r="C3654">
        <v>8800322948750</v>
      </c>
      <c r="D3654">
        <v>50</v>
      </c>
      <c r="E3654">
        <v>0</v>
      </c>
      <c r="F3654">
        <v>0</v>
      </c>
      <c r="G3654">
        <v>0</v>
      </c>
      <c r="H3654">
        <v>50</v>
      </c>
      <c r="I3654" s="183" t="s">
        <v>5247</v>
      </c>
      <c r="J3654" s="183" t="s">
        <v>12050</v>
      </c>
      <c r="K3654">
        <v>0</v>
      </c>
      <c r="L3654">
        <v>50</v>
      </c>
    </row>
    <row r="3655" spans="1:12">
      <c r="A3655" s="183" t="s">
        <v>5549</v>
      </c>
      <c r="B3655" s="183" t="s">
        <v>5251</v>
      </c>
      <c r="C3655">
        <v>8800322949269</v>
      </c>
      <c r="D3655">
        <v>50</v>
      </c>
      <c r="E3655">
        <v>0</v>
      </c>
      <c r="F3655">
        <v>0</v>
      </c>
      <c r="G3655">
        <v>0</v>
      </c>
      <c r="H3655">
        <v>50</v>
      </c>
      <c r="I3655" s="183" t="s">
        <v>5247</v>
      </c>
      <c r="J3655" s="183" t="s">
        <v>12087</v>
      </c>
      <c r="K3655">
        <v>0</v>
      </c>
      <c r="L3655">
        <v>50</v>
      </c>
    </row>
    <row r="3656" spans="1:12">
      <c r="A3656" s="183" t="s">
        <v>5550</v>
      </c>
      <c r="B3656" s="183" t="s">
        <v>5251</v>
      </c>
      <c r="C3656">
        <v>8800322949023</v>
      </c>
      <c r="D3656">
        <v>50</v>
      </c>
      <c r="E3656">
        <v>0</v>
      </c>
      <c r="F3656">
        <v>0</v>
      </c>
      <c r="G3656">
        <v>0</v>
      </c>
      <c r="H3656">
        <v>50</v>
      </c>
      <c r="I3656" s="183" t="s">
        <v>5247</v>
      </c>
      <c r="J3656" s="183" t="s">
        <v>12095</v>
      </c>
      <c r="K3656">
        <v>0</v>
      </c>
      <c r="L3656">
        <v>50</v>
      </c>
    </row>
    <row r="3657" spans="1:12">
      <c r="A3657" s="183" t="s">
        <v>5316</v>
      </c>
      <c r="B3657" s="183" t="s">
        <v>5251</v>
      </c>
      <c r="C3657">
        <v>8800322947029</v>
      </c>
      <c r="D3657">
        <v>50</v>
      </c>
      <c r="E3657">
        <v>0</v>
      </c>
      <c r="F3657">
        <v>0</v>
      </c>
      <c r="G3657">
        <v>0</v>
      </c>
      <c r="H3657">
        <v>50</v>
      </c>
      <c r="I3657" s="183" t="s">
        <v>5247</v>
      </c>
      <c r="J3657" s="183" t="s">
        <v>12048</v>
      </c>
      <c r="K3657">
        <v>0</v>
      </c>
      <c r="L3657">
        <v>50</v>
      </c>
    </row>
    <row r="3658" spans="1:12">
      <c r="A3658" s="183" t="s">
        <v>5317</v>
      </c>
      <c r="B3658" s="183" t="s">
        <v>5251</v>
      </c>
      <c r="C3658">
        <v>8800322950784</v>
      </c>
      <c r="D3658">
        <v>485</v>
      </c>
      <c r="E3658">
        <v>0</v>
      </c>
      <c r="F3658">
        <v>0</v>
      </c>
      <c r="G3658">
        <v>0</v>
      </c>
      <c r="H3658">
        <v>485</v>
      </c>
      <c r="I3658" s="183" t="s">
        <v>5247</v>
      </c>
      <c r="J3658" s="183" t="s">
        <v>12048</v>
      </c>
      <c r="K3658">
        <v>0</v>
      </c>
      <c r="L3658">
        <v>485</v>
      </c>
    </row>
    <row r="3659" spans="1:12">
      <c r="A3659" s="183" t="s">
        <v>5318</v>
      </c>
      <c r="B3659" s="183" t="s">
        <v>5256</v>
      </c>
      <c r="C3659">
        <v>8800322948286</v>
      </c>
      <c r="D3659">
        <v>50</v>
      </c>
      <c r="E3659">
        <v>0</v>
      </c>
      <c r="F3659">
        <v>0</v>
      </c>
      <c r="G3659">
        <v>0</v>
      </c>
      <c r="H3659">
        <v>50</v>
      </c>
      <c r="I3659" s="183" t="s">
        <v>5247</v>
      </c>
      <c r="J3659" s="183" t="s">
        <v>12063</v>
      </c>
      <c r="K3659">
        <v>0</v>
      </c>
      <c r="L3659">
        <v>50</v>
      </c>
    </row>
    <row r="3660" spans="1:12">
      <c r="A3660" s="183" t="s">
        <v>5551</v>
      </c>
      <c r="B3660" s="183" t="s">
        <v>5256</v>
      </c>
      <c r="C3660">
        <v>8800322948033</v>
      </c>
      <c r="D3660">
        <v>49</v>
      </c>
      <c r="E3660">
        <v>0</v>
      </c>
      <c r="F3660">
        <v>0</v>
      </c>
      <c r="G3660">
        <v>0</v>
      </c>
      <c r="H3660">
        <v>49</v>
      </c>
      <c r="I3660" s="183" t="s">
        <v>5247</v>
      </c>
      <c r="J3660" s="183" t="s">
        <v>12087</v>
      </c>
      <c r="K3660">
        <v>0</v>
      </c>
      <c r="L3660">
        <v>49</v>
      </c>
    </row>
    <row r="3661" spans="1:12">
      <c r="A3661" s="183" t="s">
        <v>5319</v>
      </c>
      <c r="B3661" s="183" t="s">
        <v>5256</v>
      </c>
      <c r="C3661">
        <v>8800322950555</v>
      </c>
      <c r="D3661">
        <v>669</v>
      </c>
      <c r="E3661">
        <v>0</v>
      </c>
      <c r="F3661">
        <v>0</v>
      </c>
      <c r="G3661">
        <v>0</v>
      </c>
      <c r="H3661">
        <v>669</v>
      </c>
      <c r="I3661" s="183" t="s">
        <v>5247</v>
      </c>
      <c r="J3661" s="183" t="s">
        <v>12055</v>
      </c>
      <c r="K3661">
        <v>0</v>
      </c>
      <c r="L3661">
        <v>669</v>
      </c>
    </row>
    <row r="3662" spans="1:12">
      <c r="A3662" s="183" t="s">
        <v>5552</v>
      </c>
      <c r="B3662" s="183" t="s">
        <v>5256</v>
      </c>
      <c r="C3662">
        <v>8800322947296</v>
      </c>
      <c r="D3662">
        <v>50</v>
      </c>
      <c r="E3662">
        <v>0</v>
      </c>
      <c r="F3662">
        <v>0</v>
      </c>
      <c r="G3662">
        <v>0</v>
      </c>
      <c r="H3662">
        <v>50</v>
      </c>
      <c r="I3662" s="183" t="s">
        <v>5247</v>
      </c>
      <c r="J3662" s="183" t="s">
        <v>12050</v>
      </c>
      <c r="K3662">
        <v>0</v>
      </c>
      <c r="L3662">
        <v>50</v>
      </c>
    </row>
    <row r="3663" spans="1:12">
      <c r="A3663" s="183" t="s">
        <v>5801</v>
      </c>
      <c r="B3663" s="183" t="s">
        <v>5256</v>
      </c>
      <c r="C3663">
        <v>8800322948798</v>
      </c>
      <c r="D3663">
        <v>50</v>
      </c>
      <c r="E3663">
        <v>0</v>
      </c>
      <c r="F3663">
        <v>0</v>
      </c>
      <c r="G3663">
        <v>0</v>
      </c>
      <c r="H3663">
        <v>50</v>
      </c>
      <c r="I3663" s="183" t="s">
        <v>5247</v>
      </c>
      <c r="J3663" s="183" t="s">
        <v>12050</v>
      </c>
      <c r="K3663">
        <v>0</v>
      </c>
      <c r="L3663">
        <v>50</v>
      </c>
    </row>
    <row r="3664" spans="1:12">
      <c r="A3664" s="183" t="s">
        <v>5802</v>
      </c>
      <c r="B3664" s="183" t="s">
        <v>5256</v>
      </c>
      <c r="C3664">
        <v>8800322949542</v>
      </c>
      <c r="D3664">
        <v>50</v>
      </c>
      <c r="E3664">
        <v>0</v>
      </c>
      <c r="F3664">
        <v>0</v>
      </c>
      <c r="G3664">
        <v>0</v>
      </c>
      <c r="H3664">
        <v>50</v>
      </c>
      <c r="I3664" s="183" t="s">
        <v>5247</v>
      </c>
      <c r="J3664" s="183" t="s">
        <v>12087</v>
      </c>
      <c r="K3664">
        <v>0</v>
      </c>
      <c r="L3664">
        <v>50</v>
      </c>
    </row>
    <row r="3665" spans="1:12">
      <c r="A3665" s="183" t="s">
        <v>5553</v>
      </c>
      <c r="B3665" s="183" t="s">
        <v>5256</v>
      </c>
      <c r="C3665">
        <v>8800322949313</v>
      </c>
      <c r="D3665">
        <v>50</v>
      </c>
      <c r="E3665">
        <v>0</v>
      </c>
      <c r="F3665">
        <v>0</v>
      </c>
      <c r="G3665">
        <v>0</v>
      </c>
      <c r="H3665">
        <v>50</v>
      </c>
      <c r="I3665" s="183" t="s">
        <v>5247</v>
      </c>
      <c r="J3665" s="183" t="s">
        <v>12095</v>
      </c>
      <c r="K3665">
        <v>0</v>
      </c>
      <c r="L3665">
        <v>50</v>
      </c>
    </row>
    <row r="3666" spans="1:12">
      <c r="A3666" s="183" t="s">
        <v>5345</v>
      </c>
      <c r="B3666" s="183" t="s">
        <v>5246</v>
      </c>
      <c r="C3666">
        <v>8800322948972</v>
      </c>
      <c r="D3666">
        <v>50</v>
      </c>
      <c r="E3666">
        <v>0</v>
      </c>
      <c r="F3666">
        <v>0</v>
      </c>
      <c r="G3666">
        <v>0</v>
      </c>
      <c r="H3666">
        <v>50</v>
      </c>
      <c r="I3666" s="183" t="s">
        <v>5247</v>
      </c>
      <c r="J3666" s="183" t="s">
        <v>12063</v>
      </c>
      <c r="K3666">
        <v>0</v>
      </c>
      <c r="L3666">
        <v>50</v>
      </c>
    </row>
    <row r="3667" spans="1:12">
      <c r="A3667" s="183" t="s">
        <v>5346</v>
      </c>
      <c r="B3667" s="183" t="s">
        <v>5246</v>
      </c>
      <c r="C3667">
        <v>8800322946978</v>
      </c>
      <c r="D3667">
        <v>50</v>
      </c>
      <c r="E3667">
        <v>0</v>
      </c>
      <c r="F3667">
        <v>0</v>
      </c>
      <c r="G3667">
        <v>0</v>
      </c>
      <c r="H3667">
        <v>50</v>
      </c>
      <c r="I3667" s="183" t="s">
        <v>5247</v>
      </c>
      <c r="J3667" s="183" t="s">
        <v>12095</v>
      </c>
      <c r="K3667">
        <v>0</v>
      </c>
      <c r="L3667">
        <v>50</v>
      </c>
    </row>
    <row r="3668" spans="1:12">
      <c r="A3668" s="183" t="s">
        <v>5646</v>
      </c>
      <c r="B3668" s="183" t="s">
        <v>5246</v>
      </c>
      <c r="C3668">
        <v>8800322948477</v>
      </c>
      <c r="D3668">
        <v>50</v>
      </c>
      <c r="E3668">
        <v>0</v>
      </c>
      <c r="F3668">
        <v>0</v>
      </c>
      <c r="G3668">
        <v>0</v>
      </c>
      <c r="H3668">
        <v>50</v>
      </c>
      <c r="I3668" s="183" t="s">
        <v>5247</v>
      </c>
      <c r="J3668" s="183" t="s">
        <v>12085</v>
      </c>
      <c r="K3668">
        <v>0</v>
      </c>
      <c r="L3668">
        <v>50</v>
      </c>
    </row>
    <row r="3669" spans="1:12">
      <c r="A3669" s="183" t="s">
        <v>5647</v>
      </c>
      <c r="B3669" s="183" t="s">
        <v>5246</v>
      </c>
      <c r="C3669">
        <v>8800322947975</v>
      </c>
      <c r="D3669">
        <v>50</v>
      </c>
      <c r="E3669">
        <v>0</v>
      </c>
      <c r="F3669">
        <v>0</v>
      </c>
      <c r="G3669">
        <v>0</v>
      </c>
      <c r="H3669">
        <v>50</v>
      </c>
      <c r="I3669" s="183" t="s">
        <v>5247</v>
      </c>
      <c r="J3669" s="183" t="s">
        <v>12055</v>
      </c>
      <c r="K3669">
        <v>0</v>
      </c>
      <c r="L3669">
        <v>50</v>
      </c>
    </row>
    <row r="3670" spans="1:12">
      <c r="A3670" s="183" t="s">
        <v>5347</v>
      </c>
      <c r="B3670" s="183" t="s">
        <v>5246</v>
      </c>
      <c r="C3670">
        <v>8800322946732</v>
      </c>
      <c r="D3670">
        <v>50</v>
      </c>
      <c r="E3670">
        <v>0</v>
      </c>
      <c r="F3670">
        <v>0</v>
      </c>
      <c r="G3670">
        <v>0</v>
      </c>
      <c r="H3670">
        <v>50</v>
      </c>
      <c r="I3670" s="183" t="s">
        <v>5247</v>
      </c>
      <c r="J3670" s="183" t="s">
        <v>12055</v>
      </c>
      <c r="K3670">
        <v>0</v>
      </c>
      <c r="L3670">
        <v>50</v>
      </c>
    </row>
    <row r="3671" spans="1:12">
      <c r="A3671" s="183" t="s">
        <v>5779</v>
      </c>
      <c r="B3671" s="183" t="s">
        <v>5251</v>
      </c>
      <c r="C3671">
        <v>8800322948743</v>
      </c>
      <c r="D3671">
        <v>50</v>
      </c>
      <c r="E3671">
        <v>0</v>
      </c>
      <c r="F3671">
        <v>0</v>
      </c>
      <c r="G3671">
        <v>0</v>
      </c>
      <c r="H3671">
        <v>50</v>
      </c>
      <c r="I3671" s="183" t="s">
        <v>5247</v>
      </c>
      <c r="J3671" s="183" t="s">
        <v>12094</v>
      </c>
      <c r="K3671">
        <v>0</v>
      </c>
      <c r="L3671">
        <v>50</v>
      </c>
    </row>
    <row r="3672" spans="1:12">
      <c r="A3672" s="183" t="s">
        <v>5780</v>
      </c>
      <c r="B3672" s="183" t="s">
        <v>5251</v>
      </c>
      <c r="C3672">
        <v>8800322949498</v>
      </c>
      <c r="D3672">
        <v>50</v>
      </c>
      <c r="E3672">
        <v>0</v>
      </c>
      <c r="F3672">
        <v>0</v>
      </c>
      <c r="G3672">
        <v>0</v>
      </c>
      <c r="H3672">
        <v>50</v>
      </c>
      <c r="I3672" s="183" t="s">
        <v>5247</v>
      </c>
      <c r="J3672" s="183" t="s">
        <v>12063</v>
      </c>
      <c r="K3672">
        <v>0</v>
      </c>
      <c r="L3672">
        <v>50</v>
      </c>
    </row>
    <row r="3673" spans="1:12">
      <c r="A3673" s="183" t="s">
        <v>5348</v>
      </c>
      <c r="B3673" s="183" t="s">
        <v>5251</v>
      </c>
      <c r="C3673">
        <v>8800322950524</v>
      </c>
      <c r="D3673">
        <v>489</v>
      </c>
      <c r="E3673">
        <v>0</v>
      </c>
      <c r="F3673">
        <v>0</v>
      </c>
      <c r="G3673">
        <v>0</v>
      </c>
      <c r="H3673">
        <v>489</v>
      </c>
      <c r="I3673" s="183" t="s">
        <v>5247</v>
      </c>
      <c r="J3673" s="183" t="s">
        <v>12048</v>
      </c>
      <c r="K3673">
        <v>0</v>
      </c>
      <c r="L3673">
        <v>489</v>
      </c>
    </row>
    <row r="3674" spans="1:12">
      <c r="A3674" s="183" t="s">
        <v>5349</v>
      </c>
      <c r="B3674" s="183" t="s">
        <v>5251</v>
      </c>
      <c r="C3674">
        <v>8800322951033</v>
      </c>
      <c r="D3674">
        <v>495</v>
      </c>
      <c r="E3674">
        <v>0</v>
      </c>
      <c r="F3674">
        <v>0</v>
      </c>
      <c r="G3674">
        <v>0</v>
      </c>
      <c r="H3674">
        <v>495</v>
      </c>
      <c r="I3674" s="183" t="s">
        <v>5247</v>
      </c>
      <c r="J3674" s="183" t="s">
        <v>12087</v>
      </c>
      <c r="K3674">
        <v>0</v>
      </c>
      <c r="L3674">
        <v>495</v>
      </c>
    </row>
    <row r="3675" spans="1:12">
      <c r="A3675" s="183" t="s">
        <v>5350</v>
      </c>
      <c r="B3675" s="183" t="s">
        <v>5256</v>
      </c>
      <c r="C3675">
        <v>8800322947548</v>
      </c>
      <c r="D3675">
        <v>50</v>
      </c>
      <c r="E3675">
        <v>0</v>
      </c>
      <c r="F3675">
        <v>0</v>
      </c>
      <c r="G3675">
        <v>0</v>
      </c>
      <c r="H3675">
        <v>50</v>
      </c>
      <c r="I3675" s="183" t="s">
        <v>5247</v>
      </c>
      <c r="J3675" s="183" t="s">
        <v>12066</v>
      </c>
      <c r="K3675">
        <v>0</v>
      </c>
      <c r="L3675">
        <v>50</v>
      </c>
    </row>
    <row r="3676" spans="1:12">
      <c r="A3676" s="183" t="s">
        <v>5351</v>
      </c>
      <c r="B3676" s="183" t="s">
        <v>5256</v>
      </c>
      <c r="C3676">
        <v>8800322948293</v>
      </c>
      <c r="D3676">
        <v>50</v>
      </c>
      <c r="E3676">
        <v>0</v>
      </c>
      <c r="F3676">
        <v>0</v>
      </c>
      <c r="G3676">
        <v>0</v>
      </c>
      <c r="H3676">
        <v>50</v>
      </c>
      <c r="I3676" s="183" t="s">
        <v>5247</v>
      </c>
      <c r="J3676" s="183" t="s">
        <v>12095</v>
      </c>
      <c r="K3676">
        <v>0</v>
      </c>
      <c r="L3676">
        <v>50</v>
      </c>
    </row>
    <row r="3677" spans="1:12">
      <c r="A3677" s="183" t="s">
        <v>5648</v>
      </c>
      <c r="B3677" s="183" t="s">
        <v>5256</v>
      </c>
      <c r="C3677">
        <v>8800322947791</v>
      </c>
      <c r="D3677">
        <v>48</v>
      </c>
      <c r="E3677">
        <v>0</v>
      </c>
      <c r="F3677">
        <v>0</v>
      </c>
      <c r="G3677">
        <v>0</v>
      </c>
      <c r="H3677">
        <v>48</v>
      </c>
      <c r="I3677" s="183" t="s">
        <v>5247</v>
      </c>
      <c r="J3677" s="183" t="s">
        <v>12063</v>
      </c>
      <c r="K3677">
        <v>0</v>
      </c>
      <c r="L3677">
        <v>48</v>
      </c>
    </row>
    <row r="3678" spans="1:12">
      <c r="A3678" s="183" t="s">
        <v>5352</v>
      </c>
      <c r="B3678" s="183" t="s">
        <v>5256</v>
      </c>
      <c r="C3678">
        <v>8800322950807</v>
      </c>
      <c r="D3678">
        <v>487</v>
      </c>
      <c r="E3678">
        <v>0</v>
      </c>
      <c r="F3678">
        <v>0</v>
      </c>
      <c r="G3678">
        <v>0</v>
      </c>
      <c r="H3678">
        <v>487</v>
      </c>
      <c r="I3678" s="183" t="s">
        <v>5247</v>
      </c>
      <c r="J3678" s="183" t="s">
        <v>12063</v>
      </c>
      <c r="K3678">
        <v>0</v>
      </c>
      <c r="L3678">
        <v>487</v>
      </c>
    </row>
    <row r="3679" spans="1:12">
      <c r="A3679" s="183" t="s">
        <v>5353</v>
      </c>
      <c r="B3679" s="183" t="s">
        <v>5256</v>
      </c>
      <c r="C3679">
        <v>8800322948316</v>
      </c>
      <c r="D3679">
        <v>50</v>
      </c>
      <c r="E3679">
        <v>0</v>
      </c>
      <c r="F3679">
        <v>0</v>
      </c>
      <c r="G3679">
        <v>0</v>
      </c>
      <c r="H3679">
        <v>50</v>
      </c>
      <c r="I3679" s="183" t="s">
        <v>5247</v>
      </c>
      <c r="J3679" s="183" t="s">
        <v>12066</v>
      </c>
      <c r="K3679">
        <v>0</v>
      </c>
      <c r="L3679">
        <v>50</v>
      </c>
    </row>
    <row r="3680" spans="1:12">
      <c r="A3680" s="183" t="s">
        <v>5354</v>
      </c>
      <c r="B3680" s="183" t="s">
        <v>5256</v>
      </c>
      <c r="C3680">
        <v>8800322947814</v>
      </c>
      <c r="D3680">
        <v>49</v>
      </c>
      <c r="E3680">
        <v>0</v>
      </c>
      <c r="F3680">
        <v>0</v>
      </c>
      <c r="G3680">
        <v>0</v>
      </c>
      <c r="H3680">
        <v>49</v>
      </c>
      <c r="I3680" s="183" t="s">
        <v>5247</v>
      </c>
      <c r="J3680" s="183" t="s">
        <v>12095</v>
      </c>
      <c r="K3680">
        <v>0</v>
      </c>
      <c r="L3680">
        <v>49</v>
      </c>
    </row>
    <row r="3681" spans="1:12">
      <c r="A3681" s="183" t="s">
        <v>5784</v>
      </c>
      <c r="B3681" s="183" t="s">
        <v>5256</v>
      </c>
      <c r="C3681">
        <v>8800322948811</v>
      </c>
      <c r="D3681">
        <v>50</v>
      </c>
      <c r="E3681">
        <v>0</v>
      </c>
      <c r="F3681">
        <v>0</v>
      </c>
      <c r="G3681">
        <v>0</v>
      </c>
      <c r="H3681">
        <v>50</v>
      </c>
      <c r="I3681" s="183" t="s">
        <v>5247</v>
      </c>
      <c r="J3681" s="183" t="s">
        <v>12063</v>
      </c>
      <c r="K3681">
        <v>0</v>
      </c>
      <c r="L3681">
        <v>50</v>
      </c>
    </row>
    <row r="3682" spans="1:12">
      <c r="A3682" s="183" t="s">
        <v>5649</v>
      </c>
      <c r="B3682" s="183" t="s">
        <v>5267</v>
      </c>
      <c r="C3682">
        <v>8800322949320</v>
      </c>
      <c r="D3682">
        <v>50</v>
      </c>
      <c r="E3682">
        <v>0</v>
      </c>
      <c r="F3682">
        <v>0</v>
      </c>
      <c r="G3682">
        <v>0</v>
      </c>
      <c r="H3682">
        <v>50</v>
      </c>
      <c r="I3682" s="183" t="s">
        <v>5247</v>
      </c>
      <c r="J3682" s="183" t="s">
        <v>12095</v>
      </c>
      <c r="K3682">
        <v>0</v>
      </c>
      <c r="L3682">
        <v>50</v>
      </c>
    </row>
    <row r="3683" spans="1:12">
      <c r="A3683" s="183" t="s">
        <v>5355</v>
      </c>
      <c r="B3683" s="183" t="s">
        <v>5267</v>
      </c>
      <c r="C3683">
        <v>8800322950838</v>
      </c>
      <c r="D3683">
        <v>482</v>
      </c>
      <c r="E3683">
        <v>0</v>
      </c>
      <c r="F3683">
        <v>0</v>
      </c>
      <c r="G3683">
        <v>0</v>
      </c>
      <c r="H3683">
        <v>482</v>
      </c>
      <c r="I3683" s="183" t="s">
        <v>5247</v>
      </c>
      <c r="J3683" s="183" t="s">
        <v>12050</v>
      </c>
      <c r="K3683">
        <v>0</v>
      </c>
      <c r="L3683">
        <v>482</v>
      </c>
    </row>
    <row r="3684" spans="1:12">
      <c r="A3684" s="183" t="s">
        <v>5785</v>
      </c>
      <c r="B3684" s="183" t="s">
        <v>5267</v>
      </c>
      <c r="C3684">
        <v>8800322949573</v>
      </c>
      <c r="D3684">
        <v>50</v>
      </c>
      <c r="E3684">
        <v>0</v>
      </c>
      <c r="F3684">
        <v>0</v>
      </c>
      <c r="G3684">
        <v>0</v>
      </c>
      <c r="H3684">
        <v>50</v>
      </c>
      <c r="I3684" s="183" t="s">
        <v>5247</v>
      </c>
      <c r="J3684" s="183" t="s">
        <v>12050</v>
      </c>
      <c r="K3684">
        <v>0</v>
      </c>
      <c r="L3684">
        <v>50</v>
      </c>
    </row>
    <row r="3685" spans="1:12">
      <c r="A3685" s="183" t="s">
        <v>5650</v>
      </c>
      <c r="B3685" s="183" t="s">
        <v>5267</v>
      </c>
      <c r="C3685">
        <v>8800322949580</v>
      </c>
      <c r="D3685">
        <v>50</v>
      </c>
      <c r="E3685">
        <v>0</v>
      </c>
      <c r="F3685">
        <v>0</v>
      </c>
      <c r="G3685">
        <v>0</v>
      </c>
      <c r="H3685">
        <v>50</v>
      </c>
      <c r="I3685" s="183" t="s">
        <v>5247</v>
      </c>
      <c r="J3685" s="183" t="s">
        <v>12066</v>
      </c>
      <c r="K3685">
        <v>0</v>
      </c>
      <c r="L3685">
        <v>50</v>
      </c>
    </row>
    <row r="3686" spans="1:12">
      <c r="A3686" s="183" t="s">
        <v>5356</v>
      </c>
      <c r="B3686" s="183" t="s">
        <v>5267</v>
      </c>
      <c r="C3686">
        <v>8800322951118</v>
      </c>
      <c r="D3686">
        <v>495</v>
      </c>
      <c r="E3686">
        <v>0</v>
      </c>
      <c r="F3686">
        <v>0</v>
      </c>
      <c r="G3686">
        <v>0</v>
      </c>
      <c r="H3686">
        <v>495</v>
      </c>
      <c r="I3686" s="183" t="s">
        <v>5247</v>
      </c>
      <c r="J3686" s="183" t="s">
        <v>12063</v>
      </c>
      <c r="K3686">
        <v>0</v>
      </c>
      <c r="L3686">
        <v>495</v>
      </c>
    </row>
    <row r="3687" spans="1:12">
      <c r="A3687" s="183" t="s">
        <v>5651</v>
      </c>
      <c r="B3687" s="183" t="s">
        <v>5296</v>
      </c>
      <c r="C3687">
        <v>8800322948361</v>
      </c>
      <c r="D3687">
        <v>50</v>
      </c>
      <c r="E3687">
        <v>0</v>
      </c>
      <c r="F3687">
        <v>0</v>
      </c>
      <c r="G3687">
        <v>0</v>
      </c>
      <c r="H3687">
        <v>50</v>
      </c>
      <c r="I3687" s="183" t="s">
        <v>5247</v>
      </c>
      <c r="J3687" s="183" t="s">
        <v>12085</v>
      </c>
      <c r="K3687">
        <v>0</v>
      </c>
      <c r="L3687">
        <v>50</v>
      </c>
    </row>
    <row r="3688" spans="1:12">
      <c r="A3688" s="183" t="s">
        <v>5357</v>
      </c>
      <c r="B3688" s="183" t="s">
        <v>5296</v>
      </c>
      <c r="C3688">
        <v>8800322947111</v>
      </c>
      <c r="D3688">
        <v>50</v>
      </c>
      <c r="E3688">
        <v>0</v>
      </c>
      <c r="F3688">
        <v>0</v>
      </c>
      <c r="G3688">
        <v>0</v>
      </c>
      <c r="H3688">
        <v>50</v>
      </c>
      <c r="I3688" s="183" t="s">
        <v>5247</v>
      </c>
      <c r="J3688" s="183" t="s">
        <v>12095</v>
      </c>
      <c r="K3688">
        <v>0</v>
      </c>
      <c r="L3688">
        <v>50</v>
      </c>
    </row>
    <row r="3689" spans="1:12">
      <c r="A3689" s="183" t="s">
        <v>5652</v>
      </c>
      <c r="B3689" s="183" t="s">
        <v>5296</v>
      </c>
      <c r="C3689">
        <v>8800322947364</v>
      </c>
      <c r="D3689">
        <v>50</v>
      </c>
      <c r="E3689">
        <v>0</v>
      </c>
      <c r="F3689">
        <v>0</v>
      </c>
      <c r="G3689">
        <v>0</v>
      </c>
      <c r="H3689">
        <v>50</v>
      </c>
      <c r="I3689" s="183" t="s">
        <v>5247</v>
      </c>
      <c r="J3689" s="183" t="s">
        <v>12095</v>
      </c>
      <c r="K3689">
        <v>0</v>
      </c>
      <c r="L3689">
        <v>50</v>
      </c>
    </row>
    <row r="3690" spans="1:12">
      <c r="A3690" s="183" t="s">
        <v>5786</v>
      </c>
      <c r="B3690" s="183" t="s">
        <v>5296</v>
      </c>
      <c r="C3690">
        <v>8800322949610</v>
      </c>
      <c r="D3690">
        <v>50</v>
      </c>
      <c r="E3690">
        <v>0</v>
      </c>
      <c r="F3690">
        <v>0</v>
      </c>
      <c r="G3690">
        <v>0</v>
      </c>
      <c r="H3690">
        <v>50</v>
      </c>
      <c r="I3690" s="183" t="s">
        <v>5247</v>
      </c>
      <c r="J3690" s="183" t="s">
        <v>12094</v>
      </c>
      <c r="K3690">
        <v>0</v>
      </c>
      <c r="L3690">
        <v>50</v>
      </c>
    </row>
    <row r="3691" spans="1:12">
      <c r="A3691" s="183" t="s">
        <v>5358</v>
      </c>
      <c r="B3691" s="183" t="s">
        <v>5296</v>
      </c>
      <c r="C3691">
        <v>8800322947128</v>
      </c>
      <c r="D3691">
        <v>50</v>
      </c>
      <c r="E3691">
        <v>0</v>
      </c>
      <c r="F3691">
        <v>0</v>
      </c>
      <c r="G3691">
        <v>0</v>
      </c>
      <c r="H3691">
        <v>50</v>
      </c>
      <c r="I3691" s="183" t="s">
        <v>5247</v>
      </c>
      <c r="J3691" s="183" t="s">
        <v>12055</v>
      </c>
      <c r="K3691">
        <v>0</v>
      </c>
      <c r="L3691">
        <v>50</v>
      </c>
    </row>
    <row r="3692" spans="1:12">
      <c r="A3692" s="183" t="s">
        <v>5359</v>
      </c>
      <c r="B3692" s="183" t="s">
        <v>5296</v>
      </c>
      <c r="C3692">
        <v>8800322950883</v>
      </c>
      <c r="D3692">
        <v>489</v>
      </c>
      <c r="E3692">
        <v>0</v>
      </c>
      <c r="F3692">
        <v>0</v>
      </c>
      <c r="G3692">
        <v>0</v>
      </c>
      <c r="H3692">
        <v>489</v>
      </c>
      <c r="I3692" s="183" t="s">
        <v>5247</v>
      </c>
      <c r="J3692" s="183" t="s">
        <v>12050</v>
      </c>
      <c r="K3692">
        <v>0</v>
      </c>
      <c r="L3692">
        <v>489</v>
      </c>
    </row>
    <row r="3693" spans="1:12">
      <c r="A3693" s="183" t="s">
        <v>5360</v>
      </c>
      <c r="B3693" s="183" t="s">
        <v>5274</v>
      </c>
      <c r="C3693">
        <v>8800322946886</v>
      </c>
      <c r="D3693">
        <v>50</v>
      </c>
      <c r="E3693">
        <v>0</v>
      </c>
      <c r="F3693">
        <v>0</v>
      </c>
      <c r="G3693">
        <v>0</v>
      </c>
      <c r="H3693">
        <v>50</v>
      </c>
      <c r="I3693" s="183" t="s">
        <v>5247</v>
      </c>
      <c r="J3693" s="183" t="s">
        <v>12048</v>
      </c>
      <c r="K3693">
        <v>0</v>
      </c>
      <c r="L3693">
        <v>50</v>
      </c>
    </row>
    <row r="3694" spans="1:12">
      <c r="A3694" s="183" t="s">
        <v>5361</v>
      </c>
      <c r="B3694" s="183" t="s">
        <v>5274</v>
      </c>
      <c r="C3694">
        <v>8800322948385</v>
      </c>
      <c r="D3694">
        <v>50</v>
      </c>
      <c r="E3694">
        <v>0</v>
      </c>
      <c r="F3694">
        <v>0</v>
      </c>
      <c r="G3694">
        <v>0</v>
      </c>
      <c r="H3694">
        <v>50</v>
      </c>
      <c r="I3694" s="183" t="s">
        <v>5247</v>
      </c>
      <c r="J3694" s="183" t="s">
        <v>12055</v>
      </c>
      <c r="K3694">
        <v>0</v>
      </c>
      <c r="L3694">
        <v>50</v>
      </c>
    </row>
    <row r="3695" spans="1:12">
      <c r="A3695" s="183" t="s">
        <v>5653</v>
      </c>
      <c r="B3695" s="183" t="s">
        <v>5274</v>
      </c>
      <c r="C3695">
        <v>8800322950159</v>
      </c>
      <c r="D3695">
        <v>50</v>
      </c>
      <c r="E3695">
        <v>0</v>
      </c>
      <c r="F3695">
        <v>0</v>
      </c>
      <c r="G3695">
        <v>0</v>
      </c>
      <c r="H3695">
        <v>50</v>
      </c>
      <c r="I3695" s="183" t="s">
        <v>5247</v>
      </c>
      <c r="J3695" s="183" t="s">
        <v>12087</v>
      </c>
      <c r="K3695">
        <v>0</v>
      </c>
      <c r="L3695">
        <v>50</v>
      </c>
    </row>
    <row r="3696" spans="1:12">
      <c r="A3696" s="183" t="s">
        <v>5362</v>
      </c>
      <c r="B3696" s="183" t="s">
        <v>5302</v>
      </c>
      <c r="C3696">
        <v>8800322948651</v>
      </c>
      <c r="D3696">
        <v>50</v>
      </c>
      <c r="E3696">
        <v>0</v>
      </c>
      <c r="F3696">
        <v>0</v>
      </c>
      <c r="G3696">
        <v>0</v>
      </c>
      <c r="H3696">
        <v>50</v>
      </c>
      <c r="I3696" s="183" t="s">
        <v>5247</v>
      </c>
      <c r="J3696" s="183" t="s">
        <v>12085</v>
      </c>
      <c r="K3696">
        <v>0</v>
      </c>
      <c r="L3696">
        <v>50</v>
      </c>
    </row>
    <row r="3697" spans="1:12">
      <c r="A3697" s="183" t="s">
        <v>5654</v>
      </c>
      <c r="B3697" s="183" t="s">
        <v>5302</v>
      </c>
      <c r="C3697">
        <v>8800322949405</v>
      </c>
      <c r="D3697">
        <v>50</v>
      </c>
      <c r="E3697">
        <v>0</v>
      </c>
      <c r="F3697">
        <v>0</v>
      </c>
      <c r="G3697">
        <v>0</v>
      </c>
      <c r="H3697">
        <v>50</v>
      </c>
      <c r="I3697" s="183" t="s">
        <v>5247</v>
      </c>
      <c r="J3697" s="183" t="s">
        <v>12048</v>
      </c>
      <c r="K3697">
        <v>0</v>
      </c>
      <c r="L3697">
        <v>50</v>
      </c>
    </row>
    <row r="3698" spans="1:12">
      <c r="A3698" s="183" t="s">
        <v>5363</v>
      </c>
      <c r="B3698" s="183" t="s">
        <v>5302</v>
      </c>
      <c r="C3698">
        <v>8800322948415</v>
      </c>
      <c r="D3698">
        <v>50</v>
      </c>
      <c r="E3698">
        <v>0</v>
      </c>
      <c r="F3698">
        <v>0</v>
      </c>
      <c r="G3698">
        <v>0</v>
      </c>
      <c r="H3698">
        <v>50</v>
      </c>
      <c r="I3698" s="183" t="s">
        <v>5247</v>
      </c>
      <c r="J3698" s="183" t="s">
        <v>12055</v>
      </c>
      <c r="K3698">
        <v>0</v>
      </c>
      <c r="L3698">
        <v>50</v>
      </c>
    </row>
    <row r="3699" spans="1:12">
      <c r="A3699" s="183" t="s">
        <v>5364</v>
      </c>
      <c r="B3699" s="183" t="s">
        <v>5302</v>
      </c>
      <c r="C3699">
        <v>8800322949917</v>
      </c>
      <c r="D3699">
        <v>46</v>
      </c>
      <c r="E3699">
        <v>0</v>
      </c>
      <c r="F3699">
        <v>0</v>
      </c>
      <c r="G3699">
        <v>0</v>
      </c>
      <c r="H3699">
        <v>46</v>
      </c>
      <c r="I3699" s="183" t="s">
        <v>5247</v>
      </c>
      <c r="J3699" s="183" t="s">
        <v>12095</v>
      </c>
      <c r="K3699">
        <v>0</v>
      </c>
      <c r="L3699">
        <v>46</v>
      </c>
    </row>
    <row r="3700" spans="1:12">
      <c r="A3700" s="183" t="s">
        <v>5787</v>
      </c>
      <c r="B3700" s="183" t="s">
        <v>5302</v>
      </c>
      <c r="C3700">
        <v>8800322948910</v>
      </c>
      <c r="D3700">
        <v>50</v>
      </c>
      <c r="E3700">
        <v>0</v>
      </c>
      <c r="F3700">
        <v>0</v>
      </c>
      <c r="G3700">
        <v>0</v>
      </c>
      <c r="H3700">
        <v>50</v>
      </c>
      <c r="I3700" s="183" t="s">
        <v>5247</v>
      </c>
      <c r="J3700" s="183" t="s">
        <v>12085</v>
      </c>
      <c r="K3700">
        <v>0</v>
      </c>
      <c r="L3700">
        <v>50</v>
      </c>
    </row>
    <row r="3701" spans="1:12">
      <c r="A3701" s="183" t="s">
        <v>5365</v>
      </c>
      <c r="B3701" s="183" t="s">
        <v>5277</v>
      </c>
      <c r="C3701">
        <v>8800322946923</v>
      </c>
      <c r="D3701">
        <v>50</v>
      </c>
      <c r="E3701">
        <v>0</v>
      </c>
      <c r="F3701">
        <v>0</v>
      </c>
      <c r="G3701">
        <v>0</v>
      </c>
      <c r="H3701">
        <v>50</v>
      </c>
      <c r="I3701" s="183" t="s">
        <v>5247</v>
      </c>
      <c r="J3701" s="183" t="s">
        <v>12066</v>
      </c>
      <c r="K3701">
        <v>0</v>
      </c>
      <c r="L3701">
        <v>50</v>
      </c>
    </row>
    <row r="3702" spans="1:12">
      <c r="A3702" s="183" t="s">
        <v>5655</v>
      </c>
      <c r="B3702" s="183" t="s">
        <v>5277</v>
      </c>
      <c r="C3702">
        <v>8800322948187</v>
      </c>
      <c r="D3702">
        <v>50</v>
      </c>
      <c r="E3702">
        <v>0</v>
      </c>
      <c r="F3702">
        <v>0</v>
      </c>
      <c r="G3702">
        <v>0</v>
      </c>
      <c r="H3702">
        <v>50</v>
      </c>
      <c r="I3702" s="183" t="s">
        <v>5247</v>
      </c>
      <c r="J3702" s="183" t="s">
        <v>12066</v>
      </c>
      <c r="K3702">
        <v>0</v>
      </c>
      <c r="L3702">
        <v>50</v>
      </c>
    </row>
    <row r="3703" spans="1:12">
      <c r="A3703" s="183" t="s">
        <v>5788</v>
      </c>
      <c r="B3703" s="183" t="s">
        <v>5277</v>
      </c>
      <c r="C3703">
        <v>8800322949689</v>
      </c>
      <c r="D3703">
        <v>50</v>
      </c>
      <c r="E3703">
        <v>0</v>
      </c>
      <c r="F3703">
        <v>0</v>
      </c>
      <c r="G3703">
        <v>0</v>
      </c>
      <c r="H3703">
        <v>50</v>
      </c>
      <c r="I3703" s="183" t="s">
        <v>5247</v>
      </c>
      <c r="J3703" s="183" t="s">
        <v>12066</v>
      </c>
      <c r="K3703">
        <v>0</v>
      </c>
      <c r="L3703">
        <v>50</v>
      </c>
    </row>
    <row r="3704" spans="1:12">
      <c r="A3704" s="183" t="s">
        <v>5656</v>
      </c>
      <c r="B3704" s="183" t="s">
        <v>5277</v>
      </c>
      <c r="C3704">
        <v>8800322950449</v>
      </c>
      <c r="D3704">
        <v>50</v>
      </c>
      <c r="E3704">
        <v>0</v>
      </c>
      <c r="F3704">
        <v>0</v>
      </c>
      <c r="G3704">
        <v>0</v>
      </c>
      <c r="H3704">
        <v>50</v>
      </c>
      <c r="I3704" s="183" t="s">
        <v>5247</v>
      </c>
      <c r="J3704" s="183" t="s">
        <v>12050</v>
      </c>
      <c r="K3704">
        <v>0</v>
      </c>
      <c r="L3704">
        <v>50</v>
      </c>
    </row>
    <row r="3705" spans="1:12">
      <c r="A3705" s="183" t="s">
        <v>5366</v>
      </c>
      <c r="B3705" s="183" t="s">
        <v>5308</v>
      </c>
      <c r="C3705">
        <v>8800322948446</v>
      </c>
      <c r="D3705">
        <v>50</v>
      </c>
      <c r="E3705">
        <v>0</v>
      </c>
      <c r="F3705">
        <v>0</v>
      </c>
      <c r="G3705">
        <v>0</v>
      </c>
      <c r="H3705">
        <v>50</v>
      </c>
      <c r="I3705" s="183" t="s">
        <v>5247</v>
      </c>
      <c r="J3705" s="183" t="s">
        <v>12048</v>
      </c>
      <c r="K3705">
        <v>0</v>
      </c>
      <c r="L3705">
        <v>50</v>
      </c>
    </row>
    <row r="3706" spans="1:12">
      <c r="A3706" s="183" t="s">
        <v>5657</v>
      </c>
      <c r="B3706" s="183" t="s">
        <v>5308</v>
      </c>
      <c r="C3706">
        <v>8800322947944</v>
      </c>
      <c r="D3706">
        <v>50</v>
      </c>
      <c r="E3706">
        <v>0</v>
      </c>
      <c r="F3706">
        <v>0</v>
      </c>
      <c r="G3706">
        <v>0</v>
      </c>
      <c r="H3706">
        <v>50</v>
      </c>
      <c r="I3706" s="183" t="s">
        <v>5247</v>
      </c>
      <c r="J3706" s="183" t="s">
        <v>12061</v>
      </c>
      <c r="K3706">
        <v>0</v>
      </c>
      <c r="L3706">
        <v>50</v>
      </c>
    </row>
    <row r="3707" spans="1:12">
      <c r="A3707" s="183" t="s">
        <v>5658</v>
      </c>
      <c r="B3707" s="183" t="s">
        <v>5308</v>
      </c>
      <c r="C3707">
        <v>8800322948699</v>
      </c>
      <c r="D3707">
        <v>50</v>
      </c>
      <c r="E3707">
        <v>0</v>
      </c>
      <c r="F3707">
        <v>0</v>
      </c>
      <c r="G3707">
        <v>0</v>
      </c>
      <c r="H3707">
        <v>50</v>
      </c>
      <c r="I3707" s="183" t="s">
        <v>5247</v>
      </c>
      <c r="J3707" s="183" t="s">
        <v>12063</v>
      </c>
      <c r="K3707">
        <v>0</v>
      </c>
      <c r="L3707">
        <v>50</v>
      </c>
    </row>
    <row r="3708" spans="1:12">
      <c r="A3708" s="183" t="s">
        <v>875</v>
      </c>
      <c r="B3708" s="183" t="s">
        <v>1039</v>
      </c>
      <c r="C3708">
        <v>8809867716381</v>
      </c>
      <c r="D3708">
        <v>607</v>
      </c>
      <c r="E3708">
        <v>0</v>
      </c>
      <c r="F3708">
        <v>0</v>
      </c>
      <c r="G3708">
        <v>0</v>
      </c>
      <c r="H3708">
        <v>607</v>
      </c>
      <c r="I3708" s="183" t="s">
        <v>1040</v>
      </c>
      <c r="J3708" s="183" t="s">
        <v>12091</v>
      </c>
      <c r="K3708">
        <v>0</v>
      </c>
      <c r="L3708">
        <v>607</v>
      </c>
    </row>
    <row r="3709" spans="1:12">
      <c r="A3709" s="183" t="s">
        <v>890</v>
      </c>
      <c r="B3709" s="183" t="s">
        <v>1039</v>
      </c>
      <c r="C3709">
        <v>8809867716398</v>
      </c>
      <c r="D3709" s="501">
        <v>1843</v>
      </c>
      <c r="E3709">
        <v>0</v>
      </c>
      <c r="F3709">
        <v>0</v>
      </c>
      <c r="G3709">
        <v>0</v>
      </c>
      <c r="H3709" s="501">
        <v>1843</v>
      </c>
      <c r="I3709" s="183" t="s">
        <v>1040</v>
      </c>
      <c r="J3709" s="183" t="s">
        <v>12093</v>
      </c>
      <c r="K3709">
        <v>0</v>
      </c>
      <c r="L3709" s="501">
        <v>1843</v>
      </c>
    </row>
    <row r="3710" spans="1:12">
      <c r="A3710" s="183" t="s">
        <v>888</v>
      </c>
      <c r="B3710" s="183" t="s">
        <v>1039</v>
      </c>
      <c r="C3710">
        <v>8809867716503</v>
      </c>
      <c r="D3710">
        <v>764</v>
      </c>
      <c r="E3710">
        <v>0</v>
      </c>
      <c r="F3710">
        <v>0</v>
      </c>
      <c r="G3710">
        <v>0</v>
      </c>
      <c r="H3710">
        <v>764</v>
      </c>
      <c r="I3710" s="183" t="s">
        <v>1040</v>
      </c>
      <c r="J3710" s="183" t="s">
        <v>12060</v>
      </c>
      <c r="K3710">
        <v>0</v>
      </c>
      <c r="L3710">
        <v>764</v>
      </c>
    </row>
    <row r="3711" spans="1:12">
      <c r="A3711" s="183" t="s">
        <v>876</v>
      </c>
      <c r="B3711" s="183" t="s">
        <v>1039</v>
      </c>
      <c r="C3711">
        <v>8809867716640</v>
      </c>
      <c r="D3711">
        <v>622</v>
      </c>
      <c r="E3711">
        <v>0</v>
      </c>
      <c r="F3711">
        <v>0</v>
      </c>
      <c r="G3711">
        <v>0</v>
      </c>
      <c r="H3711">
        <v>622</v>
      </c>
      <c r="I3711" s="183" t="s">
        <v>1040</v>
      </c>
      <c r="J3711" s="183" t="s">
        <v>12085</v>
      </c>
      <c r="K3711">
        <v>0</v>
      </c>
      <c r="L3711">
        <v>622</v>
      </c>
    </row>
    <row r="3712" spans="1:12">
      <c r="A3712" s="183" t="s">
        <v>877</v>
      </c>
      <c r="B3712" s="183" t="s">
        <v>1039</v>
      </c>
      <c r="C3712">
        <v>8809867716657</v>
      </c>
      <c r="D3712">
        <v>642</v>
      </c>
      <c r="E3712">
        <v>0</v>
      </c>
      <c r="F3712">
        <v>0</v>
      </c>
      <c r="G3712">
        <v>0</v>
      </c>
      <c r="H3712">
        <v>642</v>
      </c>
      <c r="I3712" s="183" t="s">
        <v>1040</v>
      </c>
      <c r="J3712" s="183" t="s">
        <v>12048</v>
      </c>
      <c r="K3712">
        <v>0</v>
      </c>
      <c r="L3712">
        <v>642</v>
      </c>
    </row>
    <row r="3713" spans="1:12">
      <c r="A3713" s="183" t="s">
        <v>3512</v>
      </c>
      <c r="B3713" s="183" t="s">
        <v>1039</v>
      </c>
      <c r="C3713">
        <v>8809867716732</v>
      </c>
      <c r="D3713">
        <v>484</v>
      </c>
      <c r="E3713">
        <v>0</v>
      </c>
      <c r="F3713">
        <v>0</v>
      </c>
      <c r="G3713">
        <v>0</v>
      </c>
      <c r="H3713">
        <v>484</v>
      </c>
      <c r="I3713" s="183" t="s">
        <v>1040</v>
      </c>
      <c r="J3713" s="183" t="s">
        <v>12094</v>
      </c>
      <c r="K3713">
        <v>0</v>
      </c>
      <c r="L3713">
        <v>484</v>
      </c>
    </row>
    <row r="3714" spans="1:12">
      <c r="A3714" s="183" t="s">
        <v>878</v>
      </c>
      <c r="B3714" s="183" t="s">
        <v>1039</v>
      </c>
      <c r="C3714">
        <v>8809867716879</v>
      </c>
      <c r="D3714">
        <v>751</v>
      </c>
      <c r="E3714">
        <v>0</v>
      </c>
      <c r="F3714">
        <v>0</v>
      </c>
      <c r="G3714">
        <v>0</v>
      </c>
      <c r="H3714">
        <v>751</v>
      </c>
      <c r="I3714" s="183" t="s">
        <v>1040</v>
      </c>
      <c r="J3714" s="183" t="s">
        <v>12095</v>
      </c>
      <c r="K3714">
        <v>0</v>
      </c>
      <c r="L3714">
        <v>751</v>
      </c>
    </row>
    <row r="3715" spans="1:12">
      <c r="A3715" s="183" t="s">
        <v>9171</v>
      </c>
      <c r="B3715" s="183" t="s">
        <v>1039</v>
      </c>
      <c r="C3715">
        <v>8809867717067</v>
      </c>
      <c r="D3715">
        <v>121</v>
      </c>
      <c r="E3715">
        <v>0</v>
      </c>
      <c r="F3715">
        <v>0</v>
      </c>
      <c r="G3715">
        <v>0</v>
      </c>
      <c r="H3715">
        <v>121</v>
      </c>
      <c r="I3715" s="183" t="s">
        <v>1040</v>
      </c>
      <c r="J3715" s="183" t="s">
        <v>12053</v>
      </c>
      <c r="K3715">
        <v>0</v>
      </c>
      <c r="L3715">
        <v>121</v>
      </c>
    </row>
    <row r="3716" spans="1:12">
      <c r="A3716" s="183" t="s">
        <v>932</v>
      </c>
      <c r="B3716" s="183" t="s">
        <v>927</v>
      </c>
      <c r="C3716">
        <v>8809867717302</v>
      </c>
      <c r="D3716" s="501">
        <v>1525</v>
      </c>
      <c r="E3716">
        <v>0</v>
      </c>
      <c r="F3716">
        <v>0</v>
      </c>
      <c r="G3716">
        <v>0</v>
      </c>
      <c r="H3716" s="501">
        <v>1525</v>
      </c>
      <c r="I3716" s="183" t="s">
        <v>1021</v>
      </c>
      <c r="J3716" s="183" t="s">
        <v>12095</v>
      </c>
      <c r="K3716">
        <v>0</v>
      </c>
      <c r="L3716" s="501">
        <v>1525</v>
      </c>
    </row>
    <row r="3717" spans="1:12">
      <c r="A3717" s="183" t="s">
        <v>911</v>
      </c>
      <c r="B3717" s="183" t="s">
        <v>927</v>
      </c>
      <c r="C3717">
        <v>8809867717357</v>
      </c>
      <c r="D3717" s="501">
        <v>1250</v>
      </c>
      <c r="E3717">
        <v>0</v>
      </c>
      <c r="F3717">
        <v>0</v>
      </c>
      <c r="G3717">
        <v>0</v>
      </c>
      <c r="H3717" s="501">
        <v>1250</v>
      </c>
      <c r="I3717" s="183" t="s">
        <v>1021</v>
      </c>
      <c r="J3717" s="183" t="s">
        <v>12085</v>
      </c>
      <c r="K3717">
        <v>0</v>
      </c>
      <c r="L3717" s="501">
        <v>1250</v>
      </c>
    </row>
    <row r="3718" spans="1:12">
      <c r="A3718" s="183" t="s">
        <v>920</v>
      </c>
      <c r="B3718" s="183" t="s">
        <v>927</v>
      </c>
      <c r="C3718">
        <v>8809867717654</v>
      </c>
      <c r="D3718" s="501">
        <v>1577</v>
      </c>
      <c r="E3718">
        <v>0</v>
      </c>
      <c r="F3718">
        <v>0</v>
      </c>
      <c r="G3718">
        <v>0</v>
      </c>
      <c r="H3718" s="501">
        <v>1577</v>
      </c>
      <c r="I3718" s="183" t="s">
        <v>1021</v>
      </c>
      <c r="J3718" s="183" t="s">
        <v>12048</v>
      </c>
      <c r="K3718">
        <v>0</v>
      </c>
      <c r="L3718" s="501">
        <v>1577</v>
      </c>
    </row>
    <row r="3719" spans="1:12">
      <c r="A3719" s="183" t="s">
        <v>922</v>
      </c>
      <c r="B3719" s="183" t="s">
        <v>927</v>
      </c>
      <c r="C3719">
        <v>8809867717715</v>
      </c>
      <c r="D3719" s="501">
        <v>1073</v>
      </c>
      <c r="E3719">
        <v>0</v>
      </c>
      <c r="F3719">
        <v>0</v>
      </c>
      <c r="G3719">
        <v>0</v>
      </c>
      <c r="H3719" s="501">
        <v>1073</v>
      </c>
      <c r="I3719" s="183" t="s">
        <v>1021</v>
      </c>
      <c r="J3719" s="183" t="s">
        <v>12091</v>
      </c>
      <c r="K3719">
        <v>0</v>
      </c>
      <c r="L3719" s="501">
        <v>1073</v>
      </c>
    </row>
    <row r="3720" spans="1:12">
      <c r="A3720" s="183" t="s">
        <v>947</v>
      </c>
      <c r="B3720" s="183" t="s">
        <v>927</v>
      </c>
      <c r="C3720">
        <v>8809867717753</v>
      </c>
      <c r="D3720">
        <v>713</v>
      </c>
      <c r="E3720">
        <v>0</v>
      </c>
      <c r="F3720">
        <v>0</v>
      </c>
      <c r="G3720">
        <v>0</v>
      </c>
      <c r="H3720">
        <v>713</v>
      </c>
      <c r="I3720" s="183" t="s">
        <v>1021</v>
      </c>
      <c r="J3720" s="183" t="s">
        <v>12053</v>
      </c>
      <c r="K3720">
        <v>0</v>
      </c>
      <c r="L3720">
        <v>713</v>
      </c>
    </row>
    <row r="3721" spans="1:12">
      <c r="A3721" s="183" t="s">
        <v>949</v>
      </c>
      <c r="B3721" s="183" t="s">
        <v>927</v>
      </c>
      <c r="C3721">
        <v>8809867717814</v>
      </c>
      <c r="D3721">
        <v>982</v>
      </c>
      <c r="E3721">
        <v>0</v>
      </c>
      <c r="F3721">
        <v>0</v>
      </c>
      <c r="G3721">
        <v>0</v>
      </c>
      <c r="H3721">
        <v>982</v>
      </c>
      <c r="I3721" s="183" t="s">
        <v>1021</v>
      </c>
      <c r="J3721" s="183" t="s">
        <v>12067</v>
      </c>
      <c r="K3721">
        <v>0</v>
      </c>
      <c r="L3721">
        <v>982</v>
      </c>
    </row>
    <row r="3722" spans="1:12">
      <c r="A3722" s="183" t="s">
        <v>926</v>
      </c>
      <c r="B3722" s="183" t="s">
        <v>927</v>
      </c>
      <c r="C3722">
        <v>8809867717869</v>
      </c>
      <c r="D3722" s="501">
        <v>1335</v>
      </c>
      <c r="E3722">
        <v>0</v>
      </c>
      <c r="F3722">
        <v>0</v>
      </c>
      <c r="G3722">
        <v>0</v>
      </c>
      <c r="H3722" s="501">
        <v>1335</v>
      </c>
      <c r="I3722" s="183" t="s">
        <v>1021</v>
      </c>
      <c r="J3722" s="183" t="s">
        <v>12059</v>
      </c>
      <c r="K3722">
        <v>0</v>
      </c>
      <c r="L3722" s="501">
        <v>1335</v>
      </c>
    </row>
    <row r="3723" spans="1:12">
      <c r="A3723" s="183" t="s">
        <v>2416</v>
      </c>
      <c r="B3723" s="183" t="s">
        <v>1006</v>
      </c>
      <c r="C3723">
        <v>8809867704579</v>
      </c>
      <c r="D3723">
        <v>66</v>
      </c>
      <c r="E3723">
        <v>0</v>
      </c>
      <c r="F3723">
        <v>0</v>
      </c>
      <c r="G3723">
        <v>0</v>
      </c>
      <c r="H3723">
        <v>66</v>
      </c>
      <c r="I3723" s="183" t="s">
        <v>1007</v>
      </c>
      <c r="J3723" s="183" t="s">
        <v>12093</v>
      </c>
      <c r="K3723">
        <v>0</v>
      </c>
      <c r="L3723">
        <v>66</v>
      </c>
    </row>
    <row r="3724" spans="1:12">
      <c r="A3724" s="183" t="s">
        <v>1078</v>
      </c>
      <c r="B3724" s="183" t="s">
        <v>1006</v>
      </c>
      <c r="C3724">
        <v>8809867704692</v>
      </c>
      <c r="D3724">
        <v>63</v>
      </c>
      <c r="E3724">
        <v>0</v>
      </c>
      <c r="F3724">
        <v>0</v>
      </c>
      <c r="G3724">
        <v>0</v>
      </c>
      <c r="H3724">
        <v>63</v>
      </c>
      <c r="I3724" s="183" t="s">
        <v>1007</v>
      </c>
      <c r="J3724" s="183" t="s">
        <v>12059</v>
      </c>
      <c r="K3724">
        <v>0</v>
      </c>
      <c r="L3724">
        <v>63</v>
      </c>
    </row>
    <row r="3725" spans="1:12">
      <c r="A3725" s="183" t="s">
        <v>2272</v>
      </c>
      <c r="B3725" s="183" t="s">
        <v>1006</v>
      </c>
      <c r="C3725">
        <v>8809867704784</v>
      </c>
      <c r="D3725">
        <v>187</v>
      </c>
      <c r="E3725">
        <v>0</v>
      </c>
      <c r="F3725">
        <v>0</v>
      </c>
      <c r="G3725">
        <v>0</v>
      </c>
      <c r="H3725">
        <v>187</v>
      </c>
      <c r="I3725" s="183" t="s">
        <v>1007</v>
      </c>
      <c r="J3725" s="183" t="s">
        <v>12094</v>
      </c>
      <c r="K3725">
        <v>0</v>
      </c>
      <c r="L3725">
        <v>187</v>
      </c>
    </row>
    <row r="3726" spans="1:12">
      <c r="A3726" s="183" t="s">
        <v>1073</v>
      </c>
      <c r="B3726" s="183" t="s">
        <v>1042</v>
      </c>
      <c r="C3726">
        <v>8809867704906</v>
      </c>
      <c r="D3726">
        <v>98</v>
      </c>
      <c r="E3726">
        <v>0</v>
      </c>
      <c r="F3726">
        <v>0</v>
      </c>
      <c r="G3726">
        <v>0</v>
      </c>
      <c r="H3726">
        <v>98</v>
      </c>
      <c r="I3726" s="183" t="s">
        <v>1043</v>
      </c>
      <c r="J3726" s="183" t="s">
        <v>12091</v>
      </c>
      <c r="K3726">
        <v>0</v>
      </c>
      <c r="L3726">
        <v>98</v>
      </c>
    </row>
    <row r="3727" spans="1:12">
      <c r="A3727" s="183" t="s">
        <v>2423</v>
      </c>
      <c r="B3727" s="183" t="s">
        <v>1042</v>
      </c>
      <c r="C3727">
        <v>8809867705033</v>
      </c>
      <c r="D3727">
        <v>297</v>
      </c>
      <c r="E3727">
        <v>0</v>
      </c>
      <c r="F3727">
        <v>0</v>
      </c>
      <c r="G3727">
        <v>0</v>
      </c>
      <c r="H3727">
        <v>297</v>
      </c>
      <c r="I3727" s="183" t="s">
        <v>1043</v>
      </c>
      <c r="J3727" s="183" t="s">
        <v>12092</v>
      </c>
      <c r="K3727">
        <v>0</v>
      </c>
      <c r="L3727">
        <v>297</v>
      </c>
    </row>
    <row r="3728" spans="1:12">
      <c r="A3728" s="183" t="s">
        <v>1957</v>
      </c>
      <c r="B3728" s="183" t="s">
        <v>1178</v>
      </c>
      <c r="C3728">
        <v>8809867705064</v>
      </c>
      <c r="D3728">
        <v>229</v>
      </c>
      <c r="E3728">
        <v>0</v>
      </c>
      <c r="F3728">
        <v>0</v>
      </c>
      <c r="G3728">
        <v>0</v>
      </c>
      <c r="H3728">
        <v>229</v>
      </c>
      <c r="I3728" s="183" t="s">
        <v>1179</v>
      </c>
      <c r="J3728" s="183" t="s">
        <v>12081</v>
      </c>
      <c r="K3728">
        <v>0</v>
      </c>
      <c r="L3728">
        <v>229</v>
      </c>
    </row>
    <row r="3729" spans="1:12">
      <c r="A3729" s="183" t="s">
        <v>2405</v>
      </c>
      <c r="B3729" s="183" t="s">
        <v>1178</v>
      </c>
      <c r="C3729">
        <v>8809867705125</v>
      </c>
      <c r="D3729">
        <v>142</v>
      </c>
      <c r="E3729">
        <v>0</v>
      </c>
      <c r="F3729">
        <v>0</v>
      </c>
      <c r="G3729">
        <v>0</v>
      </c>
      <c r="H3729">
        <v>142</v>
      </c>
      <c r="I3729" s="183" t="s">
        <v>1179</v>
      </c>
      <c r="J3729" s="183" t="s">
        <v>12091</v>
      </c>
      <c r="K3729">
        <v>0</v>
      </c>
      <c r="L3729">
        <v>142</v>
      </c>
    </row>
    <row r="3730" spans="1:12">
      <c r="A3730" s="183" t="s">
        <v>2267</v>
      </c>
      <c r="B3730" s="183" t="s">
        <v>1420</v>
      </c>
      <c r="C3730">
        <v>8809867705354</v>
      </c>
      <c r="D3730">
        <v>87</v>
      </c>
      <c r="E3730">
        <v>0</v>
      </c>
      <c r="F3730">
        <v>0</v>
      </c>
      <c r="G3730">
        <v>0</v>
      </c>
      <c r="H3730">
        <v>87</v>
      </c>
      <c r="I3730" s="183" t="s">
        <v>1421</v>
      </c>
      <c r="J3730" s="183" t="s">
        <v>12091</v>
      </c>
      <c r="K3730">
        <v>0</v>
      </c>
      <c r="L3730">
        <v>87</v>
      </c>
    </row>
    <row r="3731" spans="1:12">
      <c r="A3731" s="183" t="s">
        <v>1950</v>
      </c>
      <c r="B3731" s="183" t="s">
        <v>1420</v>
      </c>
      <c r="C3731">
        <v>8809867705422</v>
      </c>
      <c r="D3731">
        <v>44</v>
      </c>
      <c r="E3731">
        <v>0</v>
      </c>
      <c r="F3731">
        <v>0</v>
      </c>
      <c r="G3731">
        <v>0</v>
      </c>
      <c r="H3731">
        <v>44</v>
      </c>
      <c r="I3731" s="183" t="s">
        <v>1421</v>
      </c>
      <c r="J3731" s="183" t="s">
        <v>12054</v>
      </c>
      <c r="K3731">
        <v>0</v>
      </c>
      <c r="L3731">
        <v>44</v>
      </c>
    </row>
    <row r="3732" spans="1:12">
      <c r="A3732" s="183" t="s">
        <v>1774</v>
      </c>
      <c r="B3732" s="183" t="s">
        <v>1420</v>
      </c>
      <c r="C3732">
        <v>8809867705453</v>
      </c>
      <c r="D3732">
        <v>69</v>
      </c>
      <c r="E3732">
        <v>0</v>
      </c>
      <c r="F3732">
        <v>0</v>
      </c>
      <c r="G3732">
        <v>0</v>
      </c>
      <c r="H3732">
        <v>69</v>
      </c>
      <c r="I3732" s="183" t="s">
        <v>1421</v>
      </c>
      <c r="J3732" s="183" t="s">
        <v>12048</v>
      </c>
      <c r="K3732">
        <v>0</v>
      </c>
      <c r="L3732">
        <v>69</v>
      </c>
    </row>
    <row r="3733" spans="1:12">
      <c r="A3733" s="183" t="s">
        <v>1773</v>
      </c>
      <c r="B3733" s="183" t="s">
        <v>1420</v>
      </c>
      <c r="C3733">
        <v>8809867705521</v>
      </c>
      <c r="D3733">
        <v>54</v>
      </c>
      <c r="E3733">
        <v>0</v>
      </c>
      <c r="F3733">
        <v>0</v>
      </c>
      <c r="G3733">
        <v>0</v>
      </c>
      <c r="H3733">
        <v>54</v>
      </c>
      <c r="I3733" s="183" t="s">
        <v>1421</v>
      </c>
      <c r="J3733" s="183" t="s">
        <v>12087</v>
      </c>
      <c r="K3733">
        <v>0</v>
      </c>
      <c r="L3733">
        <v>54</v>
      </c>
    </row>
    <row r="3734" spans="1:12">
      <c r="A3734" s="183" t="s">
        <v>1434</v>
      </c>
      <c r="B3734" s="183" t="s">
        <v>1420</v>
      </c>
      <c r="C3734">
        <v>8809867705538</v>
      </c>
      <c r="D3734">
        <v>120</v>
      </c>
      <c r="E3734">
        <v>0</v>
      </c>
      <c r="F3734">
        <v>0</v>
      </c>
      <c r="G3734">
        <v>0</v>
      </c>
      <c r="H3734">
        <v>120</v>
      </c>
      <c r="I3734" s="183" t="s">
        <v>1421</v>
      </c>
      <c r="J3734" s="183" t="s">
        <v>12048</v>
      </c>
      <c r="K3734">
        <v>0</v>
      </c>
      <c r="L3734">
        <v>120</v>
      </c>
    </row>
    <row r="3735" spans="1:12">
      <c r="A3735" s="183" t="s">
        <v>1419</v>
      </c>
      <c r="B3735" s="183" t="s">
        <v>1420</v>
      </c>
      <c r="C3735">
        <v>8809867705552</v>
      </c>
      <c r="D3735">
        <v>210</v>
      </c>
      <c r="E3735">
        <v>0</v>
      </c>
      <c r="F3735">
        <v>0</v>
      </c>
      <c r="G3735">
        <v>0</v>
      </c>
      <c r="H3735">
        <v>210</v>
      </c>
      <c r="I3735" s="183" t="s">
        <v>1421</v>
      </c>
      <c r="J3735" s="183" t="s">
        <v>12085</v>
      </c>
      <c r="K3735">
        <v>0</v>
      </c>
      <c r="L3735">
        <v>210</v>
      </c>
    </row>
    <row r="3736" spans="1:12">
      <c r="A3736" s="183" t="s">
        <v>3291</v>
      </c>
      <c r="B3736" s="183" t="s">
        <v>3292</v>
      </c>
      <c r="C3736">
        <v>8809959704005</v>
      </c>
      <c r="D3736">
        <v>282</v>
      </c>
      <c r="E3736">
        <v>0</v>
      </c>
      <c r="F3736">
        <v>0</v>
      </c>
      <c r="G3736">
        <v>0</v>
      </c>
      <c r="H3736">
        <v>282</v>
      </c>
      <c r="I3736" s="183" t="s">
        <v>3278</v>
      </c>
      <c r="J3736" s="183" t="s">
        <v>12059</v>
      </c>
      <c r="K3736">
        <v>0</v>
      </c>
      <c r="L3736">
        <v>282</v>
      </c>
    </row>
    <row r="3737" spans="1:12">
      <c r="A3737" s="183" t="s">
        <v>3289</v>
      </c>
      <c r="B3737" s="183" t="s">
        <v>3290</v>
      </c>
      <c r="C3737">
        <v>8809959704012</v>
      </c>
      <c r="D3737">
        <v>299</v>
      </c>
      <c r="E3737">
        <v>0</v>
      </c>
      <c r="F3737">
        <v>0</v>
      </c>
      <c r="G3737">
        <v>0</v>
      </c>
      <c r="H3737">
        <v>299</v>
      </c>
      <c r="I3737" s="183" t="s">
        <v>3278</v>
      </c>
      <c r="J3737" s="183" t="s">
        <v>12053</v>
      </c>
      <c r="K3737">
        <v>0</v>
      </c>
      <c r="L3737">
        <v>299</v>
      </c>
    </row>
    <row r="3738" spans="1:12">
      <c r="A3738" s="183" t="s">
        <v>3276</v>
      </c>
      <c r="B3738" s="183" t="s">
        <v>3277</v>
      </c>
      <c r="C3738">
        <v>8809959704043</v>
      </c>
      <c r="D3738">
        <v>446</v>
      </c>
      <c r="E3738">
        <v>0</v>
      </c>
      <c r="F3738">
        <v>0</v>
      </c>
      <c r="G3738">
        <v>0</v>
      </c>
      <c r="H3738">
        <v>446</v>
      </c>
      <c r="I3738" s="183" t="s">
        <v>3278</v>
      </c>
      <c r="J3738" s="183" t="s">
        <v>12054</v>
      </c>
      <c r="K3738">
        <v>0</v>
      </c>
      <c r="L3738">
        <v>446</v>
      </c>
    </row>
    <row r="3739" spans="1:12">
      <c r="A3739" s="183" t="s">
        <v>3297</v>
      </c>
      <c r="B3739" s="183" t="s">
        <v>3298</v>
      </c>
      <c r="C3739">
        <v>8809959704128</v>
      </c>
      <c r="D3739">
        <v>84</v>
      </c>
      <c r="E3739">
        <v>0</v>
      </c>
      <c r="F3739">
        <v>0</v>
      </c>
      <c r="G3739">
        <v>0</v>
      </c>
      <c r="H3739">
        <v>84</v>
      </c>
      <c r="I3739" s="183" t="s">
        <v>3278</v>
      </c>
      <c r="J3739" s="183" t="s">
        <v>12091</v>
      </c>
      <c r="K3739">
        <v>0</v>
      </c>
      <c r="L3739">
        <v>84</v>
      </c>
    </row>
    <row r="3740" spans="1:12">
      <c r="A3740" s="183" t="s">
        <v>3240</v>
      </c>
      <c r="B3740" s="183" t="s">
        <v>3241</v>
      </c>
      <c r="C3740">
        <v>8809959704203</v>
      </c>
      <c r="D3740">
        <v>373</v>
      </c>
      <c r="E3740">
        <v>0</v>
      </c>
      <c r="F3740">
        <v>0</v>
      </c>
      <c r="G3740">
        <v>0</v>
      </c>
      <c r="H3740">
        <v>373</v>
      </c>
      <c r="I3740" s="183" t="s">
        <v>3235</v>
      </c>
      <c r="J3740" s="183" t="s">
        <v>12053</v>
      </c>
      <c r="K3740">
        <v>0</v>
      </c>
      <c r="L3740">
        <v>373</v>
      </c>
    </row>
    <row r="3741" spans="1:12">
      <c r="A3741" s="183" t="s">
        <v>3266</v>
      </c>
      <c r="B3741" s="183" t="s">
        <v>3267</v>
      </c>
      <c r="C3741">
        <v>8809959704296</v>
      </c>
      <c r="D3741">
        <v>149</v>
      </c>
      <c r="E3741">
        <v>0</v>
      </c>
      <c r="F3741">
        <v>0</v>
      </c>
      <c r="G3741">
        <v>0</v>
      </c>
      <c r="H3741">
        <v>149</v>
      </c>
      <c r="I3741" s="183" t="s">
        <v>3235</v>
      </c>
      <c r="J3741" s="183" t="s">
        <v>12053</v>
      </c>
      <c r="K3741">
        <v>0</v>
      </c>
      <c r="L3741">
        <v>149</v>
      </c>
    </row>
    <row r="3742" spans="1:12">
      <c r="A3742" s="183" t="s">
        <v>3242</v>
      </c>
      <c r="B3742" s="183" t="s">
        <v>3243</v>
      </c>
      <c r="C3742">
        <v>8809959704333</v>
      </c>
      <c r="D3742">
        <v>478</v>
      </c>
      <c r="E3742">
        <v>0</v>
      </c>
      <c r="F3742">
        <v>0</v>
      </c>
      <c r="G3742">
        <v>0</v>
      </c>
      <c r="H3742">
        <v>478</v>
      </c>
      <c r="I3742" s="183" t="s">
        <v>3235</v>
      </c>
      <c r="J3742" s="183" t="s">
        <v>12091</v>
      </c>
      <c r="K3742">
        <v>0</v>
      </c>
      <c r="L3742">
        <v>478</v>
      </c>
    </row>
    <row r="3743" spans="1:12">
      <c r="A3743" s="183" t="s">
        <v>3244</v>
      </c>
      <c r="B3743" s="183" t="s">
        <v>3245</v>
      </c>
      <c r="C3743">
        <v>8809959704401</v>
      </c>
      <c r="D3743">
        <v>44</v>
      </c>
      <c r="E3743">
        <v>0</v>
      </c>
      <c r="F3743">
        <v>0</v>
      </c>
      <c r="G3743">
        <v>0</v>
      </c>
      <c r="H3743">
        <v>44</v>
      </c>
      <c r="I3743" s="183" t="s">
        <v>3235</v>
      </c>
      <c r="J3743" s="183" t="s">
        <v>12093</v>
      </c>
      <c r="K3743">
        <v>0</v>
      </c>
      <c r="L3743">
        <v>44</v>
      </c>
    </row>
    <row r="3744" spans="1:12">
      <c r="A3744" s="183" t="s">
        <v>1305</v>
      </c>
      <c r="B3744" s="183" t="s">
        <v>982</v>
      </c>
      <c r="C3744">
        <v>18800202</v>
      </c>
      <c r="D3744" s="501">
        <v>2003</v>
      </c>
      <c r="E3744">
        <v>0</v>
      </c>
      <c r="F3744">
        <v>0</v>
      </c>
      <c r="G3744">
        <v>0</v>
      </c>
      <c r="H3744" s="501">
        <v>2003</v>
      </c>
      <c r="I3744" s="183" t="s">
        <v>983</v>
      </c>
      <c r="J3744" s="183" t="s">
        <v>12067</v>
      </c>
      <c r="K3744">
        <v>0</v>
      </c>
      <c r="L3744" s="501">
        <v>2003</v>
      </c>
    </row>
    <row r="3745" spans="1:12">
      <c r="A3745" s="183" t="s">
        <v>1413</v>
      </c>
      <c r="B3745" s="183" t="s">
        <v>982</v>
      </c>
      <c r="C3745">
        <v>18800207</v>
      </c>
      <c r="D3745">
        <v>995</v>
      </c>
      <c r="E3745">
        <v>0</v>
      </c>
      <c r="F3745">
        <v>0</v>
      </c>
      <c r="G3745">
        <v>0</v>
      </c>
      <c r="H3745">
        <v>995</v>
      </c>
      <c r="I3745" s="183" t="s">
        <v>983</v>
      </c>
      <c r="J3745" s="183" t="s">
        <v>12091</v>
      </c>
      <c r="K3745">
        <v>0</v>
      </c>
      <c r="L3745">
        <v>995</v>
      </c>
    </row>
    <row r="3746" spans="1:12">
      <c r="A3746" s="183" t="s">
        <v>1081</v>
      </c>
      <c r="B3746" s="183" t="s">
        <v>982</v>
      </c>
      <c r="C3746">
        <v>18800220</v>
      </c>
      <c r="D3746" s="501">
        <v>1011</v>
      </c>
      <c r="E3746">
        <v>0</v>
      </c>
      <c r="F3746">
        <v>0</v>
      </c>
      <c r="G3746">
        <v>0</v>
      </c>
      <c r="H3746" s="501">
        <v>1011</v>
      </c>
      <c r="I3746" s="183" t="s">
        <v>983</v>
      </c>
      <c r="J3746" s="183" t="s">
        <v>12091</v>
      </c>
      <c r="K3746">
        <v>0</v>
      </c>
      <c r="L3746" s="501">
        <v>1011</v>
      </c>
    </row>
    <row r="3747" spans="1:12">
      <c r="A3747" s="183" t="s">
        <v>1080</v>
      </c>
      <c r="B3747" s="183" t="s">
        <v>982</v>
      </c>
      <c r="C3747">
        <v>18800223</v>
      </c>
      <c r="D3747" s="501">
        <v>1481</v>
      </c>
      <c r="E3747">
        <v>0</v>
      </c>
      <c r="F3747">
        <v>0</v>
      </c>
      <c r="G3747">
        <v>0</v>
      </c>
      <c r="H3747" s="501">
        <v>1481</v>
      </c>
      <c r="I3747" s="183" t="s">
        <v>983</v>
      </c>
      <c r="J3747" s="183" t="s">
        <v>12093</v>
      </c>
      <c r="K3747">
        <v>0</v>
      </c>
      <c r="L3747" s="501">
        <v>1481</v>
      </c>
    </row>
    <row r="3748" spans="1:12">
      <c r="A3748" s="183" t="s">
        <v>1079</v>
      </c>
      <c r="B3748" s="183" t="s">
        <v>982</v>
      </c>
      <c r="C3748">
        <v>18800224</v>
      </c>
      <c r="D3748">
        <v>698</v>
      </c>
      <c r="E3748">
        <v>0</v>
      </c>
      <c r="F3748">
        <v>0</v>
      </c>
      <c r="G3748">
        <v>0</v>
      </c>
      <c r="H3748">
        <v>698</v>
      </c>
      <c r="I3748" s="183" t="s">
        <v>983</v>
      </c>
      <c r="J3748" s="183" t="s">
        <v>12081</v>
      </c>
      <c r="K3748">
        <v>0</v>
      </c>
      <c r="L3748">
        <v>698</v>
      </c>
    </row>
    <row r="3749" spans="1:12">
      <c r="A3749" s="183" t="s">
        <v>1193</v>
      </c>
      <c r="B3749" s="183" t="s">
        <v>982</v>
      </c>
      <c r="C3749">
        <v>18800228</v>
      </c>
      <c r="D3749">
        <v>727</v>
      </c>
      <c r="E3749">
        <v>0</v>
      </c>
      <c r="F3749">
        <v>0</v>
      </c>
      <c r="G3749">
        <v>0</v>
      </c>
      <c r="H3749">
        <v>727</v>
      </c>
      <c r="I3749" s="183" t="s">
        <v>983</v>
      </c>
      <c r="J3749" s="183" t="s">
        <v>12081</v>
      </c>
      <c r="K3749">
        <v>0</v>
      </c>
      <c r="L3749">
        <v>727</v>
      </c>
    </row>
    <row r="3750" spans="1:12">
      <c r="A3750" s="183" t="s">
        <v>1195</v>
      </c>
      <c r="B3750" s="183" t="s">
        <v>1035</v>
      </c>
      <c r="C3750">
        <v>18810230</v>
      </c>
      <c r="D3750" s="501">
        <v>1372</v>
      </c>
      <c r="E3750">
        <v>0</v>
      </c>
      <c r="F3750">
        <v>0</v>
      </c>
      <c r="G3750">
        <v>0</v>
      </c>
      <c r="H3750" s="501">
        <v>1372</v>
      </c>
      <c r="I3750" s="183" t="s">
        <v>1036</v>
      </c>
      <c r="J3750" s="183" t="s">
        <v>12081</v>
      </c>
      <c r="K3750">
        <v>0</v>
      </c>
      <c r="L3750" s="501">
        <v>1372</v>
      </c>
    </row>
    <row r="3751" spans="1:12">
      <c r="A3751" s="183" t="s">
        <v>1074</v>
      </c>
      <c r="B3751" s="183" t="s">
        <v>1014</v>
      </c>
      <c r="C3751">
        <v>18820210</v>
      </c>
      <c r="D3751" s="501">
        <v>1257</v>
      </c>
      <c r="E3751">
        <v>0</v>
      </c>
      <c r="F3751">
        <v>0</v>
      </c>
      <c r="G3751">
        <v>0</v>
      </c>
      <c r="H3751" s="501">
        <v>1257</v>
      </c>
      <c r="I3751" s="183" t="s">
        <v>1015</v>
      </c>
      <c r="J3751" s="183" t="s">
        <v>12081</v>
      </c>
      <c r="K3751">
        <v>0</v>
      </c>
      <c r="L3751" s="501">
        <v>1257</v>
      </c>
    </row>
    <row r="3752" spans="1:12">
      <c r="A3752" s="183" t="s">
        <v>3831</v>
      </c>
      <c r="B3752" s="183" t="s">
        <v>1014</v>
      </c>
      <c r="C3752">
        <v>18820212</v>
      </c>
      <c r="D3752">
        <v>108</v>
      </c>
      <c r="E3752">
        <v>0</v>
      </c>
      <c r="F3752">
        <v>0</v>
      </c>
      <c r="G3752">
        <v>0</v>
      </c>
      <c r="H3752">
        <v>108</v>
      </c>
      <c r="I3752" s="183" t="s">
        <v>1015</v>
      </c>
      <c r="J3752" s="183" t="s">
        <v>12067</v>
      </c>
      <c r="K3752">
        <v>0</v>
      </c>
      <c r="L3752">
        <v>108</v>
      </c>
    </row>
    <row r="3753" spans="1:12">
      <c r="A3753" s="183" t="s">
        <v>5320</v>
      </c>
      <c r="B3753" s="183" t="s">
        <v>5267</v>
      </c>
      <c r="C3753">
        <v>8800322946824</v>
      </c>
      <c r="D3753">
        <v>50</v>
      </c>
      <c r="E3753">
        <v>0</v>
      </c>
      <c r="F3753">
        <v>0</v>
      </c>
      <c r="G3753">
        <v>0</v>
      </c>
      <c r="H3753">
        <v>50</v>
      </c>
      <c r="I3753" s="183" t="s">
        <v>5247</v>
      </c>
      <c r="J3753" s="183" t="s">
        <v>12055</v>
      </c>
      <c r="K3753">
        <v>0</v>
      </c>
      <c r="L3753">
        <v>50</v>
      </c>
    </row>
    <row r="3754" spans="1:12">
      <c r="A3754" s="183" t="s">
        <v>5554</v>
      </c>
      <c r="B3754" s="183" t="s">
        <v>5267</v>
      </c>
      <c r="C3754">
        <v>8800322947326</v>
      </c>
      <c r="D3754">
        <v>50</v>
      </c>
      <c r="E3754">
        <v>0</v>
      </c>
      <c r="F3754">
        <v>0</v>
      </c>
      <c r="G3754">
        <v>0</v>
      </c>
      <c r="H3754">
        <v>50</v>
      </c>
      <c r="I3754" s="183" t="s">
        <v>5247</v>
      </c>
      <c r="J3754" s="183" t="s">
        <v>12066</v>
      </c>
      <c r="K3754">
        <v>0</v>
      </c>
      <c r="L3754">
        <v>50</v>
      </c>
    </row>
    <row r="3755" spans="1:12">
      <c r="A3755" s="183" t="s">
        <v>5321</v>
      </c>
      <c r="B3755" s="183" t="s">
        <v>5267</v>
      </c>
      <c r="C3755">
        <v>8800322949832</v>
      </c>
      <c r="D3755">
        <v>50</v>
      </c>
      <c r="E3755">
        <v>0</v>
      </c>
      <c r="F3755">
        <v>0</v>
      </c>
      <c r="G3755">
        <v>0</v>
      </c>
      <c r="H3755">
        <v>50</v>
      </c>
      <c r="I3755" s="183" t="s">
        <v>5247</v>
      </c>
      <c r="J3755" s="183" t="s">
        <v>12095</v>
      </c>
      <c r="K3755">
        <v>0</v>
      </c>
      <c r="L3755">
        <v>50</v>
      </c>
    </row>
    <row r="3756" spans="1:12">
      <c r="A3756" s="183" t="s">
        <v>5322</v>
      </c>
      <c r="B3756" s="183" t="s">
        <v>5267</v>
      </c>
      <c r="C3756">
        <v>8800322949092</v>
      </c>
      <c r="D3756">
        <v>50</v>
      </c>
      <c r="E3756">
        <v>0</v>
      </c>
      <c r="F3756">
        <v>0</v>
      </c>
      <c r="G3756">
        <v>0</v>
      </c>
      <c r="H3756">
        <v>50</v>
      </c>
      <c r="I3756" s="183" t="s">
        <v>5247</v>
      </c>
      <c r="J3756" s="183" t="s">
        <v>12063</v>
      </c>
      <c r="K3756">
        <v>0</v>
      </c>
      <c r="L3756">
        <v>50</v>
      </c>
    </row>
    <row r="3757" spans="1:12">
      <c r="A3757" s="183" t="s">
        <v>5803</v>
      </c>
      <c r="B3757" s="183" t="s">
        <v>5267</v>
      </c>
      <c r="C3757">
        <v>8800322950357</v>
      </c>
      <c r="D3757">
        <v>50</v>
      </c>
      <c r="E3757">
        <v>0</v>
      </c>
      <c r="F3757">
        <v>0</v>
      </c>
      <c r="G3757">
        <v>0</v>
      </c>
      <c r="H3757">
        <v>50</v>
      </c>
      <c r="I3757" s="183" t="s">
        <v>5247</v>
      </c>
      <c r="J3757" s="183" t="s">
        <v>12066</v>
      </c>
      <c r="K3757">
        <v>0</v>
      </c>
      <c r="L3757">
        <v>50</v>
      </c>
    </row>
    <row r="3758" spans="1:12">
      <c r="A3758" s="183" t="s">
        <v>5323</v>
      </c>
      <c r="B3758" s="183" t="s">
        <v>5267</v>
      </c>
      <c r="C3758">
        <v>8800322949856</v>
      </c>
      <c r="D3758">
        <v>47</v>
      </c>
      <c r="E3758">
        <v>0</v>
      </c>
      <c r="F3758">
        <v>0</v>
      </c>
      <c r="G3758">
        <v>0</v>
      </c>
      <c r="H3758">
        <v>47</v>
      </c>
      <c r="I3758" s="183" t="s">
        <v>5247</v>
      </c>
      <c r="J3758" s="183" t="s">
        <v>12063</v>
      </c>
      <c r="K3758">
        <v>0</v>
      </c>
      <c r="L3758">
        <v>47</v>
      </c>
    </row>
    <row r="3759" spans="1:12">
      <c r="A3759" s="183" t="s">
        <v>5555</v>
      </c>
      <c r="B3759" s="183" t="s">
        <v>5267</v>
      </c>
      <c r="C3759">
        <v>8800322949351</v>
      </c>
      <c r="D3759">
        <v>49</v>
      </c>
      <c r="E3759">
        <v>0</v>
      </c>
      <c r="F3759">
        <v>0</v>
      </c>
      <c r="G3759">
        <v>0</v>
      </c>
      <c r="H3759">
        <v>49</v>
      </c>
      <c r="I3759" s="183" t="s">
        <v>5247</v>
      </c>
      <c r="J3759" s="183" t="s">
        <v>12048</v>
      </c>
      <c r="K3759">
        <v>0</v>
      </c>
      <c r="L3759">
        <v>49</v>
      </c>
    </row>
    <row r="3760" spans="1:12">
      <c r="A3760" s="183" t="s">
        <v>5556</v>
      </c>
      <c r="B3760" s="183" t="s">
        <v>5267</v>
      </c>
      <c r="C3760">
        <v>8800322947357</v>
      </c>
      <c r="D3760">
        <v>50</v>
      </c>
      <c r="E3760">
        <v>0</v>
      </c>
      <c r="F3760">
        <v>0</v>
      </c>
      <c r="G3760">
        <v>0</v>
      </c>
      <c r="H3760">
        <v>50</v>
      </c>
      <c r="I3760" s="183" t="s">
        <v>5247</v>
      </c>
      <c r="J3760" s="183" t="s">
        <v>12066</v>
      </c>
      <c r="K3760">
        <v>0</v>
      </c>
      <c r="L3760">
        <v>50</v>
      </c>
    </row>
    <row r="3761" spans="1:12">
      <c r="A3761" s="183" t="s">
        <v>5557</v>
      </c>
      <c r="B3761" s="183" t="s">
        <v>5267</v>
      </c>
      <c r="C3761">
        <v>8800322950364</v>
      </c>
      <c r="D3761">
        <v>50</v>
      </c>
      <c r="E3761">
        <v>0</v>
      </c>
      <c r="F3761">
        <v>0</v>
      </c>
      <c r="G3761">
        <v>0</v>
      </c>
      <c r="H3761">
        <v>50</v>
      </c>
      <c r="I3761" s="183" t="s">
        <v>5247</v>
      </c>
      <c r="J3761" s="183" t="s">
        <v>12094</v>
      </c>
      <c r="K3761">
        <v>0</v>
      </c>
      <c r="L3761">
        <v>50</v>
      </c>
    </row>
    <row r="3762" spans="1:12">
      <c r="A3762" s="183" t="s">
        <v>5324</v>
      </c>
      <c r="B3762" s="183" t="s">
        <v>5296</v>
      </c>
      <c r="C3762">
        <v>8800322946862</v>
      </c>
      <c r="D3762">
        <v>50</v>
      </c>
      <c r="E3762">
        <v>0</v>
      </c>
      <c r="F3762">
        <v>0</v>
      </c>
      <c r="G3762">
        <v>0</v>
      </c>
      <c r="H3762">
        <v>50</v>
      </c>
      <c r="I3762" s="183" t="s">
        <v>5247</v>
      </c>
      <c r="J3762" s="183" t="s">
        <v>12061</v>
      </c>
      <c r="K3762">
        <v>0</v>
      </c>
      <c r="L3762">
        <v>50</v>
      </c>
    </row>
    <row r="3763" spans="1:12">
      <c r="A3763" s="183" t="s">
        <v>5325</v>
      </c>
      <c r="B3763" s="183" t="s">
        <v>5296</v>
      </c>
      <c r="C3763">
        <v>8800322949115</v>
      </c>
      <c r="D3763">
        <v>50</v>
      </c>
      <c r="E3763">
        <v>0</v>
      </c>
      <c r="F3763">
        <v>0</v>
      </c>
      <c r="G3763">
        <v>0</v>
      </c>
      <c r="H3763">
        <v>50</v>
      </c>
      <c r="I3763" s="183" t="s">
        <v>5247</v>
      </c>
      <c r="J3763" s="183" t="s">
        <v>12050</v>
      </c>
      <c r="K3763">
        <v>0</v>
      </c>
      <c r="L3763">
        <v>50</v>
      </c>
    </row>
    <row r="3764" spans="1:12">
      <c r="A3764" s="183" t="s">
        <v>5326</v>
      </c>
      <c r="B3764" s="183" t="s">
        <v>5296</v>
      </c>
      <c r="C3764">
        <v>8800322950876</v>
      </c>
      <c r="D3764">
        <v>486</v>
      </c>
      <c r="E3764">
        <v>0</v>
      </c>
      <c r="F3764">
        <v>0</v>
      </c>
      <c r="G3764">
        <v>0</v>
      </c>
      <c r="H3764">
        <v>486</v>
      </c>
      <c r="I3764" s="183" t="s">
        <v>5247</v>
      </c>
      <c r="J3764" s="183" t="s">
        <v>12063</v>
      </c>
      <c r="K3764">
        <v>0</v>
      </c>
      <c r="L3764">
        <v>486</v>
      </c>
    </row>
    <row r="3765" spans="1:12">
      <c r="A3765" s="183" t="s">
        <v>5327</v>
      </c>
      <c r="B3765" s="183" t="s">
        <v>5296</v>
      </c>
      <c r="C3765">
        <v>8800322951125</v>
      </c>
      <c r="D3765">
        <v>490</v>
      </c>
      <c r="E3765">
        <v>0</v>
      </c>
      <c r="F3765">
        <v>0</v>
      </c>
      <c r="G3765">
        <v>0</v>
      </c>
      <c r="H3765">
        <v>490</v>
      </c>
      <c r="I3765" s="183" t="s">
        <v>5247</v>
      </c>
      <c r="J3765" s="183" t="s">
        <v>12048</v>
      </c>
      <c r="K3765">
        <v>0</v>
      </c>
      <c r="L3765">
        <v>490</v>
      </c>
    </row>
    <row r="3766" spans="1:12">
      <c r="A3766" s="183" t="s">
        <v>5328</v>
      </c>
      <c r="B3766" s="183" t="s">
        <v>5296</v>
      </c>
      <c r="C3766">
        <v>8800322949122</v>
      </c>
      <c r="D3766">
        <v>50</v>
      </c>
      <c r="E3766">
        <v>0</v>
      </c>
      <c r="F3766">
        <v>0</v>
      </c>
      <c r="G3766">
        <v>0</v>
      </c>
      <c r="H3766">
        <v>50</v>
      </c>
      <c r="I3766" s="183" t="s">
        <v>5247</v>
      </c>
      <c r="J3766" s="183" t="s">
        <v>12085</v>
      </c>
      <c r="K3766">
        <v>0</v>
      </c>
      <c r="L3766">
        <v>50</v>
      </c>
    </row>
    <row r="3767" spans="1:12">
      <c r="A3767" s="183" t="s">
        <v>5329</v>
      </c>
      <c r="B3767" s="183" t="s">
        <v>5296</v>
      </c>
      <c r="C3767">
        <v>8800322950630</v>
      </c>
      <c r="D3767">
        <v>497</v>
      </c>
      <c r="E3767">
        <v>0</v>
      </c>
      <c r="F3767">
        <v>0</v>
      </c>
      <c r="G3767">
        <v>0</v>
      </c>
      <c r="H3767">
        <v>497</v>
      </c>
      <c r="I3767" s="183" t="s">
        <v>5247</v>
      </c>
      <c r="J3767" s="183" t="s">
        <v>12048</v>
      </c>
      <c r="K3767">
        <v>0</v>
      </c>
      <c r="L3767">
        <v>497</v>
      </c>
    </row>
    <row r="3768" spans="1:12">
      <c r="A3768" s="183" t="s">
        <v>5558</v>
      </c>
      <c r="B3768" s="183" t="s">
        <v>5296</v>
      </c>
      <c r="C3768">
        <v>8800322948620</v>
      </c>
      <c r="D3768">
        <v>50</v>
      </c>
      <c r="E3768">
        <v>0</v>
      </c>
      <c r="F3768">
        <v>0</v>
      </c>
      <c r="G3768">
        <v>0</v>
      </c>
      <c r="H3768">
        <v>50</v>
      </c>
      <c r="I3768" s="183" t="s">
        <v>5247</v>
      </c>
      <c r="J3768" s="183" t="s">
        <v>12050</v>
      </c>
      <c r="K3768">
        <v>0</v>
      </c>
      <c r="L3768">
        <v>50</v>
      </c>
    </row>
    <row r="3769" spans="1:12">
      <c r="A3769" s="183" t="s">
        <v>5330</v>
      </c>
      <c r="B3769" s="183" t="s">
        <v>5274</v>
      </c>
      <c r="C3769">
        <v>8800322949139</v>
      </c>
      <c r="D3769">
        <v>50</v>
      </c>
      <c r="E3769">
        <v>0</v>
      </c>
      <c r="F3769">
        <v>0</v>
      </c>
      <c r="G3769">
        <v>0</v>
      </c>
      <c r="H3769">
        <v>50</v>
      </c>
      <c r="I3769" s="183" t="s">
        <v>5247</v>
      </c>
      <c r="J3769" s="183" t="s">
        <v>12048</v>
      </c>
      <c r="K3769">
        <v>0</v>
      </c>
      <c r="L3769">
        <v>50</v>
      </c>
    </row>
    <row r="3770" spans="1:12">
      <c r="A3770" s="183" t="s">
        <v>5811</v>
      </c>
      <c r="B3770" s="183" t="s">
        <v>5274</v>
      </c>
      <c r="C3770">
        <v>8800322948880</v>
      </c>
      <c r="D3770">
        <v>50</v>
      </c>
      <c r="E3770">
        <v>0</v>
      </c>
      <c r="F3770">
        <v>0</v>
      </c>
      <c r="G3770">
        <v>0</v>
      </c>
      <c r="H3770">
        <v>50</v>
      </c>
      <c r="I3770" s="183" t="s">
        <v>5247</v>
      </c>
      <c r="J3770" s="183" t="s">
        <v>12063</v>
      </c>
      <c r="K3770">
        <v>0</v>
      </c>
      <c r="L3770">
        <v>50</v>
      </c>
    </row>
    <row r="3771" spans="1:12">
      <c r="A3771" s="183" t="s">
        <v>5331</v>
      </c>
      <c r="B3771" s="183" t="s">
        <v>5274</v>
      </c>
      <c r="C3771">
        <v>8800322949894</v>
      </c>
      <c r="D3771">
        <v>50</v>
      </c>
      <c r="E3771">
        <v>0</v>
      </c>
      <c r="F3771">
        <v>0</v>
      </c>
      <c r="G3771">
        <v>0</v>
      </c>
      <c r="H3771">
        <v>50</v>
      </c>
      <c r="I3771" s="183" t="s">
        <v>5247</v>
      </c>
      <c r="J3771" s="183" t="s">
        <v>12087</v>
      </c>
      <c r="K3771">
        <v>0</v>
      </c>
      <c r="L3771">
        <v>50</v>
      </c>
    </row>
    <row r="3772" spans="1:12">
      <c r="A3772" s="183" t="s">
        <v>5332</v>
      </c>
      <c r="B3772" s="183" t="s">
        <v>5274</v>
      </c>
      <c r="C3772">
        <v>8800322947890</v>
      </c>
      <c r="D3772">
        <v>50</v>
      </c>
      <c r="E3772">
        <v>0</v>
      </c>
      <c r="F3772">
        <v>0</v>
      </c>
      <c r="G3772">
        <v>0</v>
      </c>
      <c r="H3772">
        <v>50</v>
      </c>
      <c r="I3772" s="183" t="s">
        <v>5247</v>
      </c>
      <c r="J3772" s="183" t="s">
        <v>12095</v>
      </c>
      <c r="K3772">
        <v>0</v>
      </c>
      <c r="L3772">
        <v>50</v>
      </c>
    </row>
    <row r="3773" spans="1:12">
      <c r="A3773" s="183" t="s">
        <v>5333</v>
      </c>
      <c r="B3773" s="183" t="s">
        <v>5274</v>
      </c>
      <c r="C3773">
        <v>8800322948644</v>
      </c>
      <c r="D3773">
        <v>50</v>
      </c>
      <c r="E3773">
        <v>0</v>
      </c>
      <c r="F3773">
        <v>0</v>
      </c>
      <c r="G3773">
        <v>0</v>
      </c>
      <c r="H3773">
        <v>50</v>
      </c>
      <c r="I3773" s="183" t="s">
        <v>5247</v>
      </c>
      <c r="J3773" s="183" t="s">
        <v>12087</v>
      </c>
      <c r="K3773">
        <v>0</v>
      </c>
      <c r="L3773">
        <v>50</v>
      </c>
    </row>
    <row r="3774" spans="1:12">
      <c r="A3774" s="183" t="s">
        <v>5334</v>
      </c>
      <c r="B3774" s="183" t="s">
        <v>5274</v>
      </c>
      <c r="C3774">
        <v>8800322950906</v>
      </c>
      <c r="D3774">
        <v>500</v>
      </c>
      <c r="E3774">
        <v>0</v>
      </c>
      <c r="F3774">
        <v>0</v>
      </c>
      <c r="G3774">
        <v>0</v>
      </c>
      <c r="H3774">
        <v>500</v>
      </c>
      <c r="I3774" s="183" t="s">
        <v>5247</v>
      </c>
      <c r="J3774" s="183" t="s">
        <v>12095</v>
      </c>
      <c r="K3774">
        <v>0</v>
      </c>
      <c r="L3774">
        <v>500</v>
      </c>
    </row>
    <row r="3775" spans="1:12">
      <c r="A3775" s="183" t="s">
        <v>5812</v>
      </c>
      <c r="B3775" s="183" t="s">
        <v>5274</v>
      </c>
      <c r="C3775">
        <v>8800322948897</v>
      </c>
      <c r="D3775">
        <v>50</v>
      </c>
      <c r="E3775">
        <v>0</v>
      </c>
      <c r="F3775">
        <v>0</v>
      </c>
      <c r="G3775">
        <v>0</v>
      </c>
      <c r="H3775">
        <v>50</v>
      </c>
      <c r="I3775" s="183" t="s">
        <v>5247</v>
      </c>
      <c r="J3775" s="183" t="s">
        <v>12087</v>
      </c>
      <c r="K3775">
        <v>0</v>
      </c>
      <c r="L3775">
        <v>50</v>
      </c>
    </row>
    <row r="3776" spans="1:12">
      <c r="A3776" s="183" t="s">
        <v>5813</v>
      </c>
      <c r="B3776" s="183" t="s">
        <v>5302</v>
      </c>
      <c r="C3776">
        <v>8800322950418</v>
      </c>
      <c r="D3776">
        <v>50</v>
      </c>
      <c r="E3776">
        <v>0</v>
      </c>
      <c r="F3776">
        <v>0</v>
      </c>
      <c r="G3776">
        <v>0</v>
      </c>
      <c r="H3776">
        <v>50</v>
      </c>
      <c r="I3776" s="183" t="s">
        <v>5247</v>
      </c>
      <c r="J3776" s="183" t="s">
        <v>12095</v>
      </c>
      <c r="K3776">
        <v>0</v>
      </c>
      <c r="L3776">
        <v>50</v>
      </c>
    </row>
    <row r="3777" spans="1:12">
      <c r="A3777" s="183" t="s">
        <v>5335</v>
      </c>
      <c r="B3777" s="183" t="s">
        <v>5277</v>
      </c>
      <c r="C3777">
        <v>8800322948675</v>
      </c>
      <c r="D3777">
        <v>50</v>
      </c>
      <c r="E3777">
        <v>0</v>
      </c>
      <c r="F3777">
        <v>0</v>
      </c>
      <c r="G3777">
        <v>0</v>
      </c>
      <c r="H3777">
        <v>50</v>
      </c>
      <c r="I3777" s="183" t="s">
        <v>5247</v>
      </c>
      <c r="J3777" s="183" t="s">
        <v>12066</v>
      </c>
      <c r="K3777">
        <v>0</v>
      </c>
      <c r="L3777">
        <v>50</v>
      </c>
    </row>
    <row r="3778" spans="1:12">
      <c r="A3778" s="183" t="s">
        <v>5336</v>
      </c>
      <c r="B3778" s="183" t="s">
        <v>5277</v>
      </c>
      <c r="C3778">
        <v>8800322950937</v>
      </c>
      <c r="D3778">
        <v>549</v>
      </c>
      <c r="E3778">
        <v>0</v>
      </c>
      <c r="F3778">
        <v>0</v>
      </c>
      <c r="G3778">
        <v>0</v>
      </c>
      <c r="H3778">
        <v>549</v>
      </c>
      <c r="I3778" s="183" t="s">
        <v>5247</v>
      </c>
      <c r="J3778" s="183" t="s">
        <v>12050</v>
      </c>
      <c r="K3778">
        <v>0</v>
      </c>
      <c r="L3778">
        <v>549</v>
      </c>
    </row>
    <row r="3779" spans="1:12">
      <c r="A3779" s="183" t="s">
        <v>5599</v>
      </c>
      <c r="B3779" s="183" t="s">
        <v>5277</v>
      </c>
      <c r="C3779">
        <v>8800322947685</v>
      </c>
      <c r="D3779">
        <v>50</v>
      </c>
      <c r="E3779">
        <v>0</v>
      </c>
      <c r="F3779">
        <v>0</v>
      </c>
      <c r="G3779">
        <v>0</v>
      </c>
      <c r="H3779">
        <v>50</v>
      </c>
      <c r="I3779" s="183" t="s">
        <v>5247</v>
      </c>
      <c r="J3779" s="183" t="s">
        <v>12066</v>
      </c>
      <c r="K3779">
        <v>0</v>
      </c>
      <c r="L3779">
        <v>50</v>
      </c>
    </row>
    <row r="3780" spans="1:12">
      <c r="A3780" s="183" t="s">
        <v>5600</v>
      </c>
      <c r="B3780" s="183" t="s">
        <v>5277</v>
      </c>
      <c r="C3780">
        <v>8800322950197</v>
      </c>
      <c r="D3780">
        <v>50</v>
      </c>
      <c r="E3780">
        <v>0</v>
      </c>
      <c r="F3780">
        <v>0</v>
      </c>
      <c r="G3780">
        <v>0</v>
      </c>
      <c r="H3780">
        <v>50</v>
      </c>
      <c r="I3780" s="183" t="s">
        <v>5247</v>
      </c>
      <c r="J3780" s="183" t="s">
        <v>12050</v>
      </c>
      <c r="K3780">
        <v>0</v>
      </c>
      <c r="L3780">
        <v>50</v>
      </c>
    </row>
    <row r="3781" spans="1:12">
      <c r="A3781" s="183" t="s">
        <v>5337</v>
      </c>
      <c r="B3781" s="183" t="s">
        <v>5308</v>
      </c>
      <c r="C3781">
        <v>8800322947692</v>
      </c>
      <c r="D3781">
        <v>48</v>
      </c>
      <c r="E3781">
        <v>0</v>
      </c>
      <c r="F3781">
        <v>0</v>
      </c>
      <c r="G3781">
        <v>0</v>
      </c>
      <c r="H3781">
        <v>48</v>
      </c>
      <c r="I3781" s="183" t="s">
        <v>5247</v>
      </c>
      <c r="J3781" s="183" t="s">
        <v>12057</v>
      </c>
      <c r="K3781">
        <v>0</v>
      </c>
      <c r="L3781">
        <v>48</v>
      </c>
    </row>
    <row r="3782" spans="1:12">
      <c r="A3782" s="183" t="s">
        <v>5338</v>
      </c>
      <c r="B3782" s="183" t="s">
        <v>5308</v>
      </c>
      <c r="C3782">
        <v>8800322947197</v>
      </c>
      <c r="D3782">
        <v>50</v>
      </c>
      <c r="E3782">
        <v>0</v>
      </c>
      <c r="F3782">
        <v>0</v>
      </c>
      <c r="G3782">
        <v>0</v>
      </c>
      <c r="H3782">
        <v>50</v>
      </c>
      <c r="I3782" s="183" t="s">
        <v>5247</v>
      </c>
      <c r="J3782" s="183" t="s">
        <v>12095</v>
      </c>
      <c r="K3782">
        <v>0</v>
      </c>
      <c r="L3782">
        <v>50</v>
      </c>
    </row>
    <row r="3783" spans="1:12">
      <c r="A3783" s="183" t="s">
        <v>5601</v>
      </c>
      <c r="B3783" s="183" t="s">
        <v>5308</v>
      </c>
      <c r="C3783">
        <v>8800322949443</v>
      </c>
      <c r="D3783">
        <v>50</v>
      </c>
      <c r="E3783">
        <v>0</v>
      </c>
      <c r="F3783">
        <v>0</v>
      </c>
      <c r="G3783">
        <v>0</v>
      </c>
      <c r="H3783">
        <v>50</v>
      </c>
      <c r="I3783" s="183" t="s">
        <v>5247</v>
      </c>
      <c r="J3783" s="183" t="s">
        <v>12087</v>
      </c>
      <c r="K3783">
        <v>0</v>
      </c>
      <c r="L3783">
        <v>50</v>
      </c>
    </row>
    <row r="3784" spans="1:12">
      <c r="A3784" s="183" t="s">
        <v>867</v>
      </c>
      <c r="B3784" s="183" t="s">
        <v>1039</v>
      </c>
      <c r="C3784">
        <v>8809867716404</v>
      </c>
      <c r="D3784" s="501">
        <v>1483</v>
      </c>
      <c r="E3784">
        <v>0</v>
      </c>
      <c r="F3784">
        <v>0</v>
      </c>
      <c r="G3784">
        <v>0</v>
      </c>
      <c r="H3784" s="501">
        <v>1483</v>
      </c>
      <c r="I3784" s="183" t="s">
        <v>1040</v>
      </c>
      <c r="J3784" s="183" t="s">
        <v>12091</v>
      </c>
      <c r="K3784">
        <v>0</v>
      </c>
      <c r="L3784" s="501">
        <v>1483</v>
      </c>
    </row>
    <row r="3785" spans="1:12">
      <c r="A3785" s="183" t="s">
        <v>3510</v>
      </c>
      <c r="B3785" s="183" t="s">
        <v>1039</v>
      </c>
      <c r="C3785">
        <v>8809867716473</v>
      </c>
      <c r="D3785">
        <v>884</v>
      </c>
      <c r="E3785">
        <v>0</v>
      </c>
      <c r="F3785">
        <v>0</v>
      </c>
      <c r="G3785">
        <v>0</v>
      </c>
      <c r="H3785">
        <v>884</v>
      </c>
      <c r="I3785" s="183" t="s">
        <v>1040</v>
      </c>
      <c r="J3785" s="183" t="s">
        <v>12091</v>
      </c>
      <c r="K3785">
        <v>0</v>
      </c>
      <c r="L3785">
        <v>884</v>
      </c>
    </row>
    <row r="3786" spans="1:12">
      <c r="A3786" s="183" t="s">
        <v>868</v>
      </c>
      <c r="B3786" s="183" t="s">
        <v>1039</v>
      </c>
      <c r="C3786">
        <v>8809867716510</v>
      </c>
      <c r="D3786" s="501">
        <v>1581</v>
      </c>
      <c r="E3786">
        <v>0</v>
      </c>
      <c r="F3786">
        <v>0</v>
      </c>
      <c r="G3786">
        <v>0</v>
      </c>
      <c r="H3786" s="501">
        <v>1581</v>
      </c>
      <c r="I3786" s="183" t="s">
        <v>1040</v>
      </c>
      <c r="J3786" s="183" t="s">
        <v>12054</v>
      </c>
      <c r="K3786">
        <v>0</v>
      </c>
      <c r="L3786" s="501">
        <v>1581</v>
      </c>
    </row>
    <row r="3787" spans="1:12">
      <c r="A3787" s="183" t="s">
        <v>3513</v>
      </c>
      <c r="B3787" s="183" t="s">
        <v>1039</v>
      </c>
      <c r="C3787">
        <v>8809867716589</v>
      </c>
      <c r="D3787" s="501">
        <v>1056</v>
      </c>
      <c r="E3787">
        <v>0</v>
      </c>
      <c r="F3787">
        <v>0</v>
      </c>
      <c r="G3787">
        <v>0</v>
      </c>
      <c r="H3787" s="501">
        <v>1056</v>
      </c>
      <c r="I3787" s="183" t="s">
        <v>1040</v>
      </c>
      <c r="J3787" s="183" t="s">
        <v>12081</v>
      </c>
      <c r="K3787">
        <v>0</v>
      </c>
      <c r="L3787" s="501">
        <v>1056</v>
      </c>
    </row>
    <row r="3788" spans="1:12">
      <c r="A3788" s="183" t="s">
        <v>869</v>
      </c>
      <c r="B3788" s="183" t="s">
        <v>1039</v>
      </c>
      <c r="C3788">
        <v>8809867716633</v>
      </c>
      <c r="D3788" s="501">
        <v>1591</v>
      </c>
      <c r="E3788">
        <v>0</v>
      </c>
      <c r="F3788">
        <v>0</v>
      </c>
      <c r="G3788">
        <v>0</v>
      </c>
      <c r="H3788" s="501">
        <v>1591</v>
      </c>
      <c r="I3788" s="183" t="s">
        <v>1040</v>
      </c>
      <c r="J3788" s="183" t="s">
        <v>12087</v>
      </c>
      <c r="K3788">
        <v>0</v>
      </c>
      <c r="L3788" s="501">
        <v>1591</v>
      </c>
    </row>
    <row r="3789" spans="1:12">
      <c r="A3789" s="183" t="s">
        <v>4495</v>
      </c>
      <c r="B3789" s="183" t="s">
        <v>1039</v>
      </c>
      <c r="C3789">
        <v>8809867716770</v>
      </c>
      <c r="D3789">
        <v>587</v>
      </c>
      <c r="E3789">
        <v>0</v>
      </c>
      <c r="F3789">
        <v>0</v>
      </c>
      <c r="G3789">
        <v>0</v>
      </c>
      <c r="H3789">
        <v>587</v>
      </c>
      <c r="I3789" s="183" t="s">
        <v>1040</v>
      </c>
      <c r="J3789" s="183" t="s">
        <v>12048</v>
      </c>
      <c r="K3789">
        <v>0</v>
      </c>
      <c r="L3789">
        <v>587</v>
      </c>
    </row>
    <row r="3790" spans="1:12">
      <c r="A3790" s="183" t="s">
        <v>903</v>
      </c>
      <c r="B3790" s="183" t="s">
        <v>1039</v>
      </c>
      <c r="C3790">
        <v>8809867717005</v>
      </c>
      <c r="D3790">
        <v>589</v>
      </c>
      <c r="E3790">
        <v>0</v>
      </c>
      <c r="F3790">
        <v>0</v>
      </c>
      <c r="G3790">
        <v>0</v>
      </c>
      <c r="H3790">
        <v>589</v>
      </c>
      <c r="I3790" s="183" t="s">
        <v>1040</v>
      </c>
      <c r="J3790" s="183" t="s">
        <v>12091</v>
      </c>
      <c r="K3790">
        <v>0</v>
      </c>
      <c r="L3790">
        <v>589</v>
      </c>
    </row>
    <row r="3791" spans="1:12">
      <c r="A3791" s="183" t="s">
        <v>3436</v>
      </c>
      <c r="B3791" s="183" t="s">
        <v>927</v>
      </c>
      <c r="C3791">
        <v>8809867717173</v>
      </c>
      <c r="D3791">
        <v>696</v>
      </c>
      <c r="E3791">
        <v>0</v>
      </c>
      <c r="F3791">
        <v>0</v>
      </c>
      <c r="G3791">
        <v>0</v>
      </c>
      <c r="H3791">
        <v>696</v>
      </c>
      <c r="I3791" s="183" t="s">
        <v>1021</v>
      </c>
      <c r="J3791" s="183" t="s">
        <v>12053</v>
      </c>
      <c r="K3791">
        <v>0</v>
      </c>
      <c r="L3791">
        <v>696</v>
      </c>
    </row>
    <row r="3792" spans="1:12">
      <c r="A3792" s="183" t="s">
        <v>906</v>
      </c>
      <c r="B3792" s="183" t="s">
        <v>927</v>
      </c>
      <c r="C3792">
        <v>8809867717203</v>
      </c>
      <c r="D3792">
        <v>826</v>
      </c>
      <c r="E3792">
        <v>0</v>
      </c>
      <c r="F3792">
        <v>0</v>
      </c>
      <c r="G3792">
        <v>0</v>
      </c>
      <c r="H3792">
        <v>826</v>
      </c>
      <c r="I3792" s="183" t="s">
        <v>1021</v>
      </c>
      <c r="J3792" s="183" t="s">
        <v>12067</v>
      </c>
      <c r="K3792">
        <v>0</v>
      </c>
      <c r="L3792">
        <v>826</v>
      </c>
    </row>
    <row r="3793" spans="1:12">
      <c r="A3793" s="183" t="s">
        <v>954</v>
      </c>
      <c r="B3793" s="183" t="s">
        <v>927</v>
      </c>
      <c r="C3793">
        <v>8809867717227</v>
      </c>
      <c r="D3793" s="501">
        <v>1164</v>
      </c>
      <c r="E3793">
        <v>0</v>
      </c>
      <c r="F3793">
        <v>0</v>
      </c>
      <c r="G3793">
        <v>0</v>
      </c>
      <c r="H3793" s="501">
        <v>1164</v>
      </c>
      <c r="I3793" s="183" t="s">
        <v>1021</v>
      </c>
      <c r="J3793" s="183" t="s">
        <v>12052</v>
      </c>
      <c r="K3793">
        <v>0</v>
      </c>
      <c r="L3793" s="501">
        <v>1164</v>
      </c>
    </row>
    <row r="3794" spans="1:12">
      <c r="A3794" s="183" t="s">
        <v>955</v>
      </c>
      <c r="B3794" s="183" t="s">
        <v>927</v>
      </c>
      <c r="C3794">
        <v>8809867717258</v>
      </c>
      <c r="D3794" s="501">
        <v>1728</v>
      </c>
      <c r="E3794">
        <v>0</v>
      </c>
      <c r="F3794">
        <v>0</v>
      </c>
      <c r="G3794">
        <v>0</v>
      </c>
      <c r="H3794" s="501">
        <v>1728</v>
      </c>
      <c r="I3794" s="183" t="s">
        <v>1021</v>
      </c>
      <c r="J3794" s="183" t="s">
        <v>12048</v>
      </c>
      <c r="K3794">
        <v>0</v>
      </c>
      <c r="L3794" s="501">
        <v>1728</v>
      </c>
    </row>
    <row r="3795" spans="1:12">
      <c r="A3795" s="183" t="s">
        <v>908</v>
      </c>
      <c r="B3795" s="183" t="s">
        <v>927</v>
      </c>
      <c r="C3795">
        <v>8809867717265</v>
      </c>
      <c r="D3795" s="501">
        <v>1496</v>
      </c>
      <c r="E3795">
        <v>0</v>
      </c>
      <c r="F3795">
        <v>0</v>
      </c>
      <c r="G3795">
        <v>0</v>
      </c>
      <c r="H3795" s="501">
        <v>1496</v>
      </c>
      <c r="I3795" s="183" t="s">
        <v>1021</v>
      </c>
      <c r="J3795" s="183" t="s">
        <v>12050</v>
      </c>
      <c r="K3795">
        <v>0</v>
      </c>
      <c r="L3795" s="501">
        <v>1496</v>
      </c>
    </row>
    <row r="3796" spans="1:12">
      <c r="A3796" s="183" t="s">
        <v>933</v>
      </c>
      <c r="B3796" s="183" t="s">
        <v>927</v>
      </c>
      <c r="C3796">
        <v>8809867717333</v>
      </c>
      <c r="D3796" s="501">
        <v>1202</v>
      </c>
      <c r="E3796">
        <v>0</v>
      </c>
      <c r="F3796">
        <v>0</v>
      </c>
      <c r="G3796">
        <v>0</v>
      </c>
      <c r="H3796" s="501">
        <v>1202</v>
      </c>
      <c r="I3796" s="183" t="s">
        <v>1021</v>
      </c>
      <c r="J3796" s="183" t="s">
        <v>12094</v>
      </c>
      <c r="K3796">
        <v>0</v>
      </c>
      <c r="L3796" s="501">
        <v>1202</v>
      </c>
    </row>
    <row r="3797" spans="1:12">
      <c r="A3797" s="183" t="s">
        <v>937</v>
      </c>
      <c r="B3797" s="183" t="s">
        <v>927</v>
      </c>
      <c r="C3797">
        <v>8809867717456</v>
      </c>
      <c r="D3797" s="501">
        <v>1223</v>
      </c>
      <c r="E3797">
        <v>0</v>
      </c>
      <c r="F3797">
        <v>0</v>
      </c>
      <c r="G3797">
        <v>0</v>
      </c>
      <c r="H3797" s="501">
        <v>1223</v>
      </c>
      <c r="I3797" s="183" t="s">
        <v>1021</v>
      </c>
      <c r="J3797" s="183" t="s">
        <v>12093</v>
      </c>
      <c r="K3797">
        <v>0</v>
      </c>
      <c r="L3797" s="501">
        <v>1223</v>
      </c>
    </row>
    <row r="3798" spans="1:12">
      <c r="A3798" s="183" t="s">
        <v>938</v>
      </c>
      <c r="B3798" s="183" t="s">
        <v>927</v>
      </c>
      <c r="C3798">
        <v>8809867717487</v>
      </c>
      <c r="D3798" s="501">
        <v>1403</v>
      </c>
      <c r="E3798">
        <v>0</v>
      </c>
      <c r="F3798">
        <v>0</v>
      </c>
      <c r="G3798">
        <v>0</v>
      </c>
      <c r="H3798" s="501">
        <v>1403</v>
      </c>
      <c r="I3798" s="183" t="s">
        <v>1021</v>
      </c>
      <c r="J3798" s="183" t="s">
        <v>12095</v>
      </c>
      <c r="K3798">
        <v>0</v>
      </c>
      <c r="L3798" s="501">
        <v>1403</v>
      </c>
    </row>
    <row r="3799" spans="1:12">
      <c r="A3799" s="183" t="s">
        <v>918</v>
      </c>
      <c r="B3799" s="183" t="s">
        <v>927</v>
      </c>
      <c r="C3799">
        <v>8809867717562</v>
      </c>
      <c r="D3799" s="501">
        <v>1275</v>
      </c>
      <c r="E3799">
        <v>0</v>
      </c>
      <c r="F3799">
        <v>0</v>
      </c>
      <c r="G3799">
        <v>0</v>
      </c>
      <c r="H3799" s="501">
        <v>1275</v>
      </c>
      <c r="I3799" s="183" t="s">
        <v>1021</v>
      </c>
      <c r="J3799" s="183" t="s">
        <v>12066</v>
      </c>
      <c r="K3799">
        <v>0</v>
      </c>
      <c r="L3799" s="501">
        <v>1275</v>
      </c>
    </row>
    <row r="3800" spans="1:12">
      <c r="A3800" s="183" t="s">
        <v>970</v>
      </c>
      <c r="B3800" s="183" t="s">
        <v>927</v>
      </c>
      <c r="C3800">
        <v>8809867717739</v>
      </c>
      <c r="D3800">
        <v>839</v>
      </c>
      <c r="E3800">
        <v>0</v>
      </c>
      <c r="F3800">
        <v>0</v>
      </c>
      <c r="G3800">
        <v>0</v>
      </c>
      <c r="H3800">
        <v>839</v>
      </c>
      <c r="I3800" s="183" t="s">
        <v>1021</v>
      </c>
      <c r="J3800" s="183" t="s">
        <v>12091</v>
      </c>
      <c r="K3800">
        <v>0</v>
      </c>
      <c r="L3800">
        <v>839</v>
      </c>
    </row>
    <row r="3801" spans="1:12">
      <c r="A3801" s="183" t="s">
        <v>6426</v>
      </c>
      <c r="B3801" s="183" t="s">
        <v>1006</v>
      </c>
      <c r="C3801">
        <v>8809867704562</v>
      </c>
      <c r="D3801">
        <v>119</v>
      </c>
      <c r="E3801">
        <v>0</v>
      </c>
      <c r="F3801">
        <v>0</v>
      </c>
      <c r="G3801">
        <v>0</v>
      </c>
      <c r="H3801">
        <v>119</v>
      </c>
      <c r="I3801" s="183" t="s">
        <v>1007</v>
      </c>
      <c r="J3801" s="183" t="s">
        <v>12094</v>
      </c>
      <c r="K3801">
        <v>0</v>
      </c>
      <c r="L3801">
        <v>119</v>
      </c>
    </row>
    <row r="3802" spans="1:12">
      <c r="A3802" s="183" t="s">
        <v>1211</v>
      </c>
      <c r="B3802" s="183" t="s">
        <v>1006</v>
      </c>
      <c r="C3802">
        <v>8809867704715</v>
      </c>
      <c r="D3802">
        <v>38</v>
      </c>
      <c r="E3802">
        <v>0</v>
      </c>
      <c r="F3802">
        <v>0</v>
      </c>
      <c r="G3802">
        <v>0</v>
      </c>
      <c r="H3802">
        <v>38</v>
      </c>
      <c r="I3802" s="183" t="s">
        <v>1007</v>
      </c>
      <c r="J3802" s="183" t="s">
        <v>12093</v>
      </c>
      <c r="K3802">
        <v>0</v>
      </c>
      <c r="L3802">
        <v>38</v>
      </c>
    </row>
    <row r="3803" spans="1:12">
      <c r="A3803" s="183" t="s">
        <v>2789</v>
      </c>
      <c r="B3803" s="183" t="s">
        <v>1042</v>
      </c>
      <c r="C3803">
        <v>8809867704838</v>
      </c>
      <c r="D3803">
        <v>52</v>
      </c>
      <c r="E3803">
        <v>0</v>
      </c>
      <c r="F3803">
        <v>0</v>
      </c>
      <c r="G3803">
        <v>0</v>
      </c>
      <c r="H3803">
        <v>52</v>
      </c>
      <c r="I3803" s="183" t="s">
        <v>1043</v>
      </c>
      <c r="J3803" s="183" t="s">
        <v>12093</v>
      </c>
      <c r="K3803">
        <v>0</v>
      </c>
      <c r="L3803">
        <v>52</v>
      </c>
    </row>
    <row r="3804" spans="1:12">
      <c r="A3804" s="183" t="s">
        <v>2741</v>
      </c>
      <c r="B3804" s="183" t="s">
        <v>1042</v>
      </c>
      <c r="C3804">
        <v>8809867704852</v>
      </c>
      <c r="D3804">
        <v>48</v>
      </c>
      <c r="E3804">
        <v>0</v>
      </c>
      <c r="F3804">
        <v>0</v>
      </c>
      <c r="G3804">
        <v>0</v>
      </c>
      <c r="H3804">
        <v>48</v>
      </c>
      <c r="I3804" s="183" t="s">
        <v>1043</v>
      </c>
      <c r="J3804" s="183" t="s">
        <v>12060</v>
      </c>
      <c r="K3804">
        <v>0</v>
      </c>
      <c r="L3804">
        <v>48</v>
      </c>
    </row>
    <row r="3805" spans="1:12">
      <c r="A3805" s="183" t="s">
        <v>1115</v>
      </c>
      <c r="B3805" s="183" t="s">
        <v>1042</v>
      </c>
      <c r="C3805">
        <v>8809867704968</v>
      </c>
      <c r="D3805">
        <v>75</v>
      </c>
      <c r="E3805">
        <v>0</v>
      </c>
      <c r="F3805">
        <v>0</v>
      </c>
      <c r="G3805">
        <v>0</v>
      </c>
      <c r="H3805">
        <v>75</v>
      </c>
      <c r="I3805" s="183" t="s">
        <v>1043</v>
      </c>
      <c r="J3805" s="183" t="s">
        <v>12091</v>
      </c>
      <c r="K3805">
        <v>0</v>
      </c>
      <c r="L3805">
        <v>75</v>
      </c>
    </row>
    <row r="3806" spans="1:12">
      <c r="A3806" s="183" t="s">
        <v>2917</v>
      </c>
      <c r="B3806" s="183" t="s">
        <v>1178</v>
      </c>
      <c r="C3806">
        <v>8809867705132</v>
      </c>
      <c r="D3806">
        <v>106</v>
      </c>
      <c r="E3806">
        <v>0</v>
      </c>
      <c r="F3806">
        <v>0</v>
      </c>
      <c r="G3806">
        <v>0</v>
      </c>
      <c r="H3806">
        <v>106</v>
      </c>
      <c r="I3806" s="183" t="s">
        <v>1179</v>
      </c>
      <c r="J3806" s="183" t="s">
        <v>12054</v>
      </c>
      <c r="K3806">
        <v>0</v>
      </c>
      <c r="L3806">
        <v>106</v>
      </c>
    </row>
    <row r="3807" spans="1:12">
      <c r="A3807" s="183" t="s">
        <v>2857</v>
      </c>
      <c r="B3807" s="183" t="s">
        <v>1178</v>
      </c>
      <c r="C3807">
        <v>8809867705217</v>
      </c>
      <c r="D3807">
        <v>224</v>
      </c>
      <c r="E3807">
        <v>0</v>
      </c>
      <c r="F3807">
        <v>0</v>
      </c>
      <c r="G3807">
        <v>0</v>
      </c>
      <c r="H3807">
        <v>224</v>
      </c>
      <c r="I3807" s="183" t="s">
        <v>1179</v>
      </c>
      <c r="J3807" s="183" t="s">
        <v>12067</v>
      </c>
      <c r="K3807">
        <v>0</v>
      </c>
      <c r="L3807">
        <v>224</v>
      </c>
    </row>
    <row r="3808" spans="1:12">
      <c r="A3808" s="183" t="s">
        <v>2915</v>
      </c>
      <c r="B3808" s="183" t="s">
        <v>1178</v>
      </c>
      <c r="C3808">
        <v>8809867705248</v>
      </c>
      <c r="D3808">
        <v>139</v>
      </c>
      <c r="E3808">
        <v>0</v>
      </c>
      <c r="F3808">
        <v>0</v>
      </c>
      <c r="G3808">
        <v>0</v>
      </c>
      <c r="H3808">
        <v>139</v>
      </c>
      <c r="I3808" s="183" t="s">
        <v>1179</v>
      </c>
      <c r="J3808" s="183" t="s">
        <v>12060</v>
      </c>
      <c r="K3808">
        <v>0</v>
      </c>
      <c r="L3808">
        <v>139</v>
      </c>
    </row>
    <row r="3809" spans="1:12">
      <c r="A3809" s="183" t="s">
        <v>2752</v>
      </c>
      <c r="B3809" s="183" t="s">
        <v>1178</v>
      </c>
      <c r="C3809">
        <v>8809867705309</v>
      </c>
      <c r="D3809">
        <v>185</v>
      </c>
      <c r="E3809">
        <v>0</v>
      </c>
      <c r="F3809">
        <v>0</v>
      </c>
      <c r="G3809">
        <v>0</v>
      </c>
      <c r="H3809">
        <v>185</v>
      </c>
      <c r="I3809" s="183" t="s">
        <v>1179</v>
      </c>
      <c r="J3809" s="183" t="s">
        <v>12054</v>
      </c>
      <c r="K3809">
        <v>0</v>
      </c>
      <c r="L3809">
        <v>185</v>
      </c>
    </row>
    <row r="3810" spans="1:12">
      <c r="A3810" s="183" t="s">
        <v>2751</v>
      </c>
      <c r="B3810" s="183" t="s">
        <v>1420</v>
      </c>
      <c r="C3810">
        <v>8809867705361</v>
      </c>
      <c r="D3810">
        <v>77</v>
      </c>
      <c r="E3810">
        <v>0</v>
      </c>
      <c r="F3810">
        <v>0</v>
      </c>
      <c r="G3810">
        <v>0</v>
      </c>
      <c r="H3810">
        <v>77</v>
      </c>
      <c r="I3810" s="183" t="s">
        <v>1421</v>
      </c>
      <c r="J3810" s="183" t="s">
        <v>12054</v>
      </c>
      <c r="K3810">
        <v>0</v>
      </c>
      <c r="L3810">
        <v>77</v>
      </c>
    </row>
    <row r="3811" spans="1:12">
      <c r="A3811" s="183" t="s">
        <v>2810</v>
      </c>
      <c r="B3811" s="183" t="s">
        <v>1420</v>
      </c>
      <c r="C3811">
        <v>8809867705446</v>
      </c>
      <c r="D3811">
        <v>132</v>
      </c>
      <c r="E3811">
        <v>0</v>
      </c>
      <c r="F3811">
        <v>0</v>
      </c>
      <c r="G3811">
        <v>0</v>
      </c>
      <c r="H3811">
        <v>132</v>
      </c>
      <c r="I3811" s="183" t="s">
        <v>1421</v>
      </c>
      <c r="J3811" s="183" t="s">
        <v>12087</v>
      </c>
      <c r="K3811">
        <v>0</v>
      </c>
      <c r="L3811">
        <v>132</v>
      </c>
    </row>
    <row r="3812" spans="1:12">
      <c r="A3812" s="183" t="s">
        <v>3293</v>
      </c>
      <c r="B3812" s="183" t="s">
        <v>3294</v>
      </c>
      <c r="C3812">
        <v>8809959703893</v>
      </c>
      <c r="D3812">
        <v>69</v>
      </c>
      <c r="E3812">
        <v>0</v>
      </c>
      <c r="F3812">
        <v>0</v>
      </c>
      <c r="G3812">
        <v>0</v>
      </c>
      <c r="H3812">
        <v>69</v>
      </c>
      <c r="I3812" s="183" t="s">
        <v>3278</v>
      </c>
      <c r="J3812" s="183" t="s">
        <v>12067</v>
      </c>
      <c r="K3812">
        <v>0</v>
      </c>
      <c r="L3812">
        <v>69</v>
      </c>
    </row>
    <row r="3813" spans="1:12">
      <c r="A3813" s="183" t="s">
        <v>3285</v>
      </c>
      <c r="B3813" s="183" t="s">
        <v>3286</v>
      </c>
      <c r="C3813">
        <v>8809959703930</v>
      </c>
      <c r="D3813">
        <v>216</v>
      </c>
      <c r="E3813">
        <v>0</v>
      </c>
      <c r="F3813">
        <v>0</v>
      </c>
      <c r="G3813">
        <v>0</v>
      </c>
      <c r="H3813">
        <v>216</v>
      </c>
      <c r="I3813" s="183" t="s">
        <v>3278</v>
      </c>
      <c r="J3813" s="183" t="s">
        <v>12092</v>
      </c>
      <c r="K3813">
        <v>0</v>
      </c>
      <c r="L3813">
        <v>216</v>
      </c>
    </row>
    <row r="3814" spans="1:12">
      <c r="A3814" s="183" t="s">
        <v>3325</v>
      </c>
      <c r="B3814" s="183" t="s">
        <v>3326</v>
      </c>
      <c r="C3814">
        <v>8809959703978</v>
      </c>
      <c r="D3814">
        <v>299</v>
      </c>
      <c r="E3814">
        <v>0</v>
      </c>
      <c r="F3814">
        <v>0</v>
      </c>
      <c r="G3814">
        <v>0</v>
      </c>
      <c r="H3814">
        <v>299</v>
      </c>
      <c r="I3814" s="183" t="s">
        <v>3278</v>
      </c>
      <c r="J3814" s="183" t="s">
        <v>12091</v>
      </c>
      <c r="K3814">
        <v>0</v>
      </c>
      <c r="L3814">
        <v>299</v>
      </c>
    </row>
    <row r="3815" spans="1:12">
      <c r="A3815" s="183" t="s">
        <v>3317</v>
      </c>
      <c r="B3815" s="183" t="s">
        <v>3318</v>
      </c>
      <c r="C3815">
        <v>8809959703992</v>
      </c>
      <c r="D3815">
        <v>59</v>
      </c>
      <c r="E3815">
        <v>0</v>
      </c>
      <c r="F3815">
        <v>0</v>
      </c>
      <c r="G3815">
        <v>0</v>
      </c>
      <c r="H3815">
        <v>59</v>
      </c>
      <c r="I3815" s="183" t="s">
        <v>3278</v>
      </c>
      <c r="J3815" s="183" t="s">
        <v>12091</v>
      </c>
      <c r="K3815">
        <v>0</v>
      </c>
      <c r="L3815">
        <v>59</v>
      </c>
    </row>
    <row r="3816" spans="1:12">
      <c r="A3816" s="183" t="s">
        <v>3279</v>
      </c>
      <c r="B3816" s="183" t="s">
        <v>3280</v>
      </c>
      <c r="C3816">
        <v>8809959704111</v>
      </c>
      <c r="D3816">
        <v>151</v>
      </c>
      <c r="E3816">
        <v>0</v>
      </c>
      <c r="F3816">
        <v>0</v>
      </c>
      <c r="G3816">
        <v>0</v>
      </c>
      <c r="H3816">
        <v>151</v>
      </c>
      <c r="I3816" s="183" t="s">
        <v>3278</v>
      </c>
      <c r="J3816" s="183" t="s">
        <v>12094</v>
      </c>
      <c r="K3816">
        <v>0</v>
      </c>
      <c r="L3816">
        <v>151</v>
      </c>
    </row>
    <row r="3817" spans="1:12">
      <c r="A3817" s="183" t="s">
        <v>3246</v>
      </c>
      <c r="B3817" s="183" t="s">
        <v>3247</v>
      </c>
      <c r="C3817">
        <v>8809959704241</v>
      </c>
      <c r="D3817">
        <v>64</v>
      </c>
      <c r="E3817">
        <v>0</v>
      </c>
      <c r="F3817">
        <v>0</v>
      </c>
      <c r="G3817">
        <v>0</v>
      </c>
      <c r="H3817">
        <v>64</v>
      </c>
      <c r="I3817" s="183" t="s">
        <v>3235</v>
      </c>
      <c r="J3817" s="183" t="s">
        <v>12053</v>
      </c>
      <c r="K3817">
        <v>0</v>
      </c>
      <c r="L3817">
        <v>64</v>
      </c>
    </row>
    <row r="3818" spans="1:12">
      <c r="A3818" s="183" t="s">
        <v>3262</v>
      </c>
      <c r="B3818" s="183" t="s">
        <v>3263</v>
      </c>
      <c r="C3818">
        <v>8809959704340</v>
      </c>
      <c r="D3818">
        <v>608</v>
      </c>
      <c r="E3818">
        <v>0</v>
      </c>
      <c r="F3818">
        <v>0</v>
      </c>
      <c r="G3818">
        <v>0</v>
      </c>
      <c r="H3818">
        <v>608</v>
      </c>
      <c r="I3818" s="183" t="s">
        <v>3235</v>
      </c>
      <c r="J3818" s="183" t="s">
        <v>12067</v>
      </c>
      <c r="K3818">
        <v>0</v>
      </c>
      <c r="L3818">
        <v>608</v>
      </c>
    </row>
    <row r="3819" spans="1:12">
      <c r="A3819" s="183" t="s">
        <v>3955</v>
      </c>
      <c r="B3819" s="183" t="s">
        <v>982</v>
      </c>
      <c r="C3819">
        <v>18800222</v>
      </c>
      <c r="D3819">
        <v>374</v>
      </c>
      <c r="E3819">
        <v>0</v>
      </c>
      <c r="F3819">
        <v>0</v>
      </c>
      <c r="G3819">
        <v>0</v>
      </c>
      <c r="H3819">
        <v>374</v>
      </c>
      <c r="I3819" s="183" t="s">
        <v>983</v>
      </c>
      <c r="J3819" s="183" t="s">
        <v>12092</v>
      </c>
      <c r="K3819">
        <v>0</v>
      </c>
      <c r="L3819">
        <v>374</v>
      </c>
    </row>
    <row r="3820" spans="1:12">
      <c r="A3820" s="183" t="s">
        <v>1201</v>
      </c>
      <c r="B3820" s="183" t="s">
        <v>982</v>
      </c>
      <c r="C3820">
        <v>18800232</v>
      </c>
      <c r="D3820" s="501">
        <v>1037</v>
      </c>
      <c r="E3820">
        <v>0</v>
      </c>
      <c r="F3820">
        <v>0</v>
      </c>
      <c r="G3820">
        <v>0</v>
      </c>
      <c r="H3820" s="501">
        <v>1037</v>
      </c>
      <c r="I3820" s="183" t="s">
        <v>983</v>
      </c>
      <c r="J3820" s="183" t="s">
        <v>12087</v>
      </c>
      <c r="K3820">
        <v>0</v>
      </c>
      <c r="L3820" s="501">
        <v>1037</v>
      </c>
    </row>
    <row r="3821" spans="1:12">
      <c r="A3821" s="183" t="s">
        <v>1212</v>
      </c>
      <c r="B3821" s="183" t="s">
        <v>1035</v>
      </c>
      <c r="C3821">
        <v>18810200</v>
      </c>
      <c r="D3821" s="501">
        <v>1315</v>
      </c>
      <c r="E3821">
        <v>0</v>
      </c>
      <c r="F3821">
        <v>0</v>
      </c>
      <c r="G3821">
        <v>0</v>
      </c>
      <c r="H3821" s="501">
        <v>1315</v>
      </c>
      <c r="I3821" s="183" t="s">
        <v>1036</v>
      </c>
      <c r="J3821" s="183" t="s">
        <v>12053</v>
      </c>
      <c r="K3821">
        <v>0</v>
      </c>
      <c r="L3821" s="501">
        <v>1315</v>
      </c>
    </row>
    <row r="3822" spans="1:12">
      <c r="A3822" s="183" t="s">
        <v>2740</v>
      </c>
      <c r="B3822" s="183" t="s">
        <v>1035</v>
      </c>
      <c r="C3822">
        <v>18810214</v>
      </c>
      <c r="D3822" s="501">
        <v>1875</v>
      </c>
      <c r="E3822">
        <v>0</v>
      </c>
      <c r="F3822">
        <v>0</v>
      </c>
      <c r="G3822">
        <v>0</v>
      </c>
      <c r="H3822" s="501">
        <v>1875</v>
      </c>
      <c r="I3822" s="183" t="s">
        <v>1036</v>
      </c>
      <c r="J3822" s="183" t="s">
        <v>12091</v>
      </c>
      <c r="K3822">
        <v>0</v>
      </c>
      <c r="L3822" s="501">
        <v>1875</v>
      </c>
    </row>
    <row r="3823" spans="1:12">
      <c r="A3823" s="183" t="s">
        <v>6322</v>
      </c>
      <c r="B3823" s="183" t="s">
        <v>1014</v>
      </c>
      <c r="C3823">
        <v>18820207</v>
      </c>
      <c r="D3823">
        <v>65</v>
      </c>
      <c r="E3823">
        <v>0</v>
      </c>
      <c r="F3823">
        <v>0</v>
      </c>
      <c r="G3823">
        <v>0</v>
      </c>
      <c r="H3823">
        <v>65</v>
      </c>
      <c r="I3823" s="183" t="s">
        <v>1015</v>
      </c>
      <c r="J3823" s="183" t="s">
        <v>12094</v>
      </c>
      <c r="K3823">
        <v>0</v>
      </c>
      <c r="L3823">
        <v>65</v>
      </c>
    </row>
    <row r="3824" spans="1:12">
      <c r="A3824" s="183" t="s">
        <v>3956</v>
      </c>
      <c r="B3824" s="183" t="s">
        <v>1014</v>
      </c>
      <c r="C3824">
        <v>18820211</v>
      </c>
      <c r="D3824">
        <v>100</v>
      </c>
      <c r="E3824">
        <v>0</v>
      </c>
      <c r="F3824">
        <v>0</v>
      </c>
      <c r="G3824">
        <v>0</v>
      </c>
      <c r="H3824">
        <v>100</v>
      </c>
      <c r="I3824" s="183" t="s">
        <v>1015</v>
      </c>
      <c r="J3824" s="183" t="s">
        <v>12094</v>
      </c>
      <c r="K3824">
        <v>0</v>
      </c>
      <c r="L3824">
        <v>100</v>
      </c>
    </row>
    <row r="3825" spans="1:12">
      <c r="A3825" s="183" t="s">
        <v>3610</v>
      </c>
      <c r="B3825" s="183" t="s">
        <v>1014</v>
      </c>
      <c r="C3825">
        <v>18820213</v>
      </c>
      <c r="D3825">
        <v>20</v>
      </c>
      <c r="E3825">
        <v>0</v>
      </c>
      <c r="F3825">
        <v>0</v>
      </c>
      <c r="G3825">
        <v>0</v>
      </c>
      <c r="H3825">
        <v>20</v>
      </c>
      <c r="I3825" s="183" t="s">
        <v>1015</v>
      </c>
      <c r="J3825" s="183" t="s">
        <v>12053</v>
      </c>
      <c r="K3825">
        <v>0</v>
      </c>
      <c r="L3825">
        <v>20</v>
      </c>
    </row>
    <row r="3826" spans="1:12">
      <c r="A3826" s="183" t="s">
        <v>3678</v>
      </c>
      <c r="B3826" s="183" t="s">
        <v>1014</v>
      </c>
      <c r="C3826">
        <v>18820217</v>
      </c>
      <c r="D3826">
        <v>382</v>
      </c>
      <c r="E3826">
        <v>0</v>
      </c>
      <c r="F3826">
        <v>0</v>
      </c>
      <c r="G3826">
        <v>0</v>
      </c>
      <c r="H3826">
        <v>382</v>
      </c>
      <c r="I3826" s="183" t="s">
        <v>1015</v>
      </c>
      <c r="J3826" s="183" t="s">
        <v>12092</v>
      </c>
      <c r="K3826">
        <v>0</v>
      </c>
      <c r="L3826">
        <v>382</v>
      </c>
    </row>
    <row r="3827" spans="1:12">
      <c r="A3827" s="183" t="s">
        <v>1114</v>
      </c>
      <c r="B3827" s="183" t="s">
        <v>1014</v>
      </c>
      <c r="C3827">
        <v>18820221</v>
      </c>
      <c r="D3827">
        <v>580</v>
      </c>
      <c r="E3827">
        <v>0</v>
      </c>
      <c r="F3827">
        <v>0</v>
      </c>
      <c r="G3827">
        <v>0</v>
      </c>
      <c r="H3827">
        <v>580</v>
      </c>
      <c r="I3827" s="183" t="s">
        <v>1015</v>
      </c>
      <c r="J3827" s="183" t="s">
        <v>12067</v>
      </c>
      <c r="K3827">
        <v>0</v>
      </c>
      <c r="L3827">
        <v>580</v>
      </c>
    </row>
    <row r="3828" spans="1:12">
      <c r="A3828" s="183" t="s">
        <v>1117</v>
      </c>
      <c r="B3828" s="183" t="s">
        <v>1014</v>
      </c>
      <c r="C3828">
        <v>18820230</v>
      </c>
      <c r="D3828">
        <v>529</v>
      </c>
      <c r="E3828">
        <v>0</v>
      </c>
      <c r="F3828">
        <v>0</v>
      </c>
      <c r="G3828">
        <v>0</v>
      </c>
      <c r="H3828">
        <v>529</v>
      </c>
      <c r="I3828" s="183" t="s">
        <v>1015</v>
      </c>
      <c r="J3828" s="183" t="s">
        <v>12092</v>
      </c>
      <c r="K3828">
        <v>0</v>
      </c>
      <c r="L3828">
        <v>529</v>
      </c>
    </row>
    <row r="3829" spans="1:12">
      <c r="A3829" s="183" t="s">
        <v>2916</v>
      </c>
      <c r="B3829" s="183" t="s">
        <v>1203</v>
      </c>
      <c r="C3829">
        <v>18830203</v>
      </c>
      <c r="D3829" s="501">
        <v>2140</v>
      </c>
      <c r="E3829">
        <v>0</v>
      </c>
      <c r="F3829">
        <v>0</v>
      </c>
      <c r="G3829">
        <v>0</v>
      </c>
      <c r="H3829" s="501">
        <v>2140</v>
      </c>
      <c r="I3829" s="183" t="s">
        <v>1204</v>
      </c>
      <c r="J3829" s="183" t="s">
        <v>12092</v>
      </c>
      <c r="K3829">
        <v>0</v>
      </c>
      <c r="L3829" s="501">
        <v>2140</v>
      </c>
    </row>
    <row r="3830" spans="1:12">
      <c r="A3830" s="183" t="s">
        <v>1202</v>
      </c>
      <c r="B3830" s="183" t="s">
        <v>1203</v>
      </c>
      <c r="C3830">
        <v>18830208</v>
      </c>
      <c r="D3830" s="501">
        <v>4031</v>
      </c>
      <c r="E3830">
        <v>0</v>
      </c>
      <c r="F3830">
        <v>0</v>
      </c>
      <c r="G3830">
        <v>0</v>
      </c>
      <c r="H3830" s="501">
        <v>4031</v>
      </c>
      <c r="I3830" s="183" t="s">
        <v>1204</v>
      </c>
      <c r="J3830" s="183" t="s">
        <v>12081</v>
      </c>
      <c r="K3830">
        <v>0</v>
      </c>
      <c r="L3830" s="501">
        <v>4031</v>
      </c>
    </row>
    <row r="3831" spans="1:12">
      <c r="A3831" s="183" t="s">
        <v>2808</v>
      </c>
      <c r="B3831" s="183" t="s">
        <v>1203</v>
      </c>
      <c r="C3831">
        <v>18830216</v>
      </c>
      <c r="D3831" s="501">
        <v>2771</v>
      </c>
      <c r="E3831">
        <v>0</v>
      </c>
      <c r="F3831">
        <v>0</v>
      </c>
      <c r="G3831">
        <v>0</v>
      </c>
      <c r="H3831" s="501">
        <v>2771</v>
      </c>
      <c r="I3831" s="183" t="s">
        <v>1204</v>
      </c>
      <c r="J3831" s="183" t="s">
        <v>12085</v>
      </c>
      <c r="K3831">
        <v>0</v>
      </c>
      <c r="L3831" s="501">
        <v>2771</v>
      </c>
    </row>
    <row r="3832" spans="1:12">
      <c r="A3832" s="183" t="s">
        <v>2754</v>
      </c>
      <c r="B3832" s="183" t="s">
        <v>1203</v>
      </c>
      <c r="C3832">
        <v>18830217</v>
      </c>
      <c r="D3832" s="501">
        <v>2361</v>
      </c>
      <c r="E3832">
        <v>0</v>
      </c>
      <c r="F3832">
        <v>0</v>
      </c>
      <c r="G3832">
        <v>0</v>
      </c>
      <c r="H3832" s="501">
        <v>2361</v>
      </c>
      <c r="I3832" s="183" t="s">
        <v>1204</v>
      </c>
      <c r="J3832" s="183" t="s">
        <v>12063</v>
      </c>
      <c r="K3832">
        <v>0</v>
      </c>
      <c r="L3832" s="501">
        <v>2361</v>
      </c>
    </row>
    <row r="3833" spans="1:12">
      <c r="A3833" s="183" t="s">
        <v>2874</v>
      </c>
      <c r="B3833" s="183" t="s">
        <v>1203</v>
      </c>
      <c r="C3833">
        <v>18830220</v>
      </c>
      <c r="D3833" s="501">
        <v>2197</v>
      </c>
      <c r="E3833">
        <v>0</v>
      </c>
      <c r="F3833">
        <v>0</v>
      </c>
      <c r="G3833">
        <v>0</v>
      </c>
      <c r="H3833" s="501">
        <v>2197</v>
      </c>
      <c r="I3833" s="183" t="s">
        <v>1204</v>
      </c>
      <c r="J3833" s="183" t="s">
        <v>12066</v>
      </c>
      <c r="K3833">
        <v>0</v>
      </c>
      <c r="L3833" s="501">
        <v>2197</v>
      </c>
    </row>
    <row r="3834" spans="1:12">
      <c r="A3834" s="183" t="s">
        <v>2833</v>
      </c>
      <c r="B3834" s="183" t="s">
        <v>1203</v>
      </c>
      <c r="C3834">
        <v>18830223</v>
      </c>
      <c r="D3834" s="501">
        <v>2105</v>
      </c>
      <c r="E3834">
        <v>0</v>
      </c>
      <c r="F3834">
        <v>0</v>
      </c>
      <c r="G3834">
        <v>0</v>
      </c>
      <c r="H3834" s="501">
        <v>2105</v>
      </c>
      <c r="I3834" s="183" t="s">
        <v>1204</v>
      </c>
      <c r="J3834" s="183" t="s">
        <v>12093</v>
      </c>
      <c r="K3834">
        <v>0</v>
      </c>
      <c r="L3834" s="501">
        <v>2105</v>
      </c>
    </row>
    <row r="3835" spans="1:12">
      <c r="A3835" s="183" t="s">
        <v>1205</v>
      </c>
      <c r="B3835" s="183" t="s">
        <v>1206</v>
      </c>
      <c r="C3835">
        <v>18840200</v>
      </c>
      <c r="D3835" s="501">
        <v>4508</v>
      </c>
      <c r="E3835">
        <v>0</v>
      </c>
      <c r="F3835">
        <v>0</v>
      </c>
      <c r="G3835">
        <v>0</v>
      </c>
      <c r="H3835" s="501">
        <v>4508</v>
      </c>
      <c r="I3835" s="183" t="s">
        <v>1207</v>
      </c>
      <c r="J3835" s="183" t="s">
        <v>12094</v>
      </c>
      <c r="K3835">
        <v>0</v>
      </c>
      <c r="L3835" s="501">
        <v>4508</v>
      </c>
    </row>
    <row r="3836" spans="1:12">
      <c r="A3836" s="183" t="s">
        <v>2811</v>
      </c>
      <c r="B3836" s="183" t="s">
        <v>1206</v>
      </c>
      <c r="C3836">
        <v>18840210</v>
      </c>
      <c r="D3836" s="501">
        <v>5179</v>
      </c>
      <c r="E3836">
        <v>0</v>
      </c>
      <c r="F3836">
        <v>0</v>
      </c>
      <c r="G3836">
        <v>0</v>
      </c>
      <c r="H3836" s="501">
        <v>5179</v>
      </c>
      <c r="I3836" s="183" t="s">
        <v>1207</v>
      </c>
      <c r="J3836" s="183" t="s">
        <v>12087</v>
      </c>
      <c r="K3836">
        <v>0</v>
      </c>
      <c r="L3836" s="501">
        <v>5179</v>
      </c>
    </row>
    <row r="3837" spans="1:12">
      <c r="A3837" s="183" t="s">
        <v>2791</v>
      </c>
      <c r="B3837" s="183" t="s">
        <v>1206</v>
      </c>
      <c r="C3837">
        <v>18840211</v>
      </c>
      <c r="D3837" s="501">
        <v>2531</v>
      </c>
      <c r="E3837">
        <v>0</v>
      </c>
      <c r="F3837">
        <v>0</v>
      </c>
      <c r="G3837">
        <v>0</v>
      </c>
      <c r="H3837" s="501">
        <v>2531</v>
      </c>
      <c r="I3837" s="183" t="s">
        <v>1207</v>
      </c>
      <c r="J3837" s="183" t="s">
        <v>12081</v>
      </c>
      <c r="K3837">
        <v>0</v>
      </c>
      <c r="L3837" s="501">
        <v>2531</v>
      </c>
    </row>
    <row r="3838" spans="1:12">
      <c r="A3838" s="183" t="s">
        <v>2804</v>
      </c>
      <c r="B3838" s="183" t="s">
        <v>1206</v>
      </c>
      <c r="C3838">
        <v>18840212</v>
      </c>
      <c r="D3838" s="501">
        <v>3496</v>
      </c>
      <c r="E3838">
        <v>0</v>
      </c>
      <c r="F3838">
        <v>0</v>
      </c>
      <c r="G3838">
        <v>0</v>
      </c>
      <c r="H3838" s="501">
        <v>3496</v>
      </c>
      <c r="I3838" s="183" t="s">
        <v>1207</v>
      </c>
      <c r="J3838" s="183" t="s">
        <v>12092</v>
      </c>
      <c r="K3838">
        <v>0</v>
      </c>
      <c r="L3838" s="501">
        <v>3496</v>
      </c>
    </row>
    <row r="3839" spans="1:12">
      <c r="A3839" s="183" t="s">
        <v>2905</v>
      </c>
      <c r="B3839" s="183" t="s">
        <v>1206</v>
      </c>
      <c r="C3839">
        <v>18840230</v>
      </c>
      <c r="D3839" s="501">
        <v>2018</v>
      </c>
      <c r="E3839">
        <v>0</v>
      </c>
      <c r="F3839">
        <v>0</v>
      </c>
      <c r="G3839">
        <v>0</v>
      </c>
      <c r="H3839" s="501">
        <v>2018</v>
      </c>
      <c r="I3839" s="183" t="s">
        <v>1207</v>
      </c>
      <c r="J3839" s="183" t="s">
        <v>12091</v>
      </c>
      <c r="K3839">
        <v>0</v>
      </c>
      <c r="L3839" s="501">
        <v>2018</v>
      </c>
    </row>
    <row r="3840" spans="1:12">
      <c r="A3840" s="183" t="s">
        <v>3778</v>
      </c>
      <c r="B3840" s="183" t="s">
        <v>1014</v>
      </c>
      <c r="C3840">
        <v>18820216</v>
      </c>
      <c r="D3840">
        <v>76</v>
      </c>
      <c r="E3840">
        <v>0</v>
      </c>
      <c r="F3840">
        <v>0</v>
      </c>
      <c r="G3840">
        <v>0</v>
      </c>
      <c r="H3840">
        <v>76</v>
      </c>
      <c r="I3840" s="183" t="s">
        <v>1015</v>
      </c>
      <c r="J3840" s="183" t="s">
        <v>12059</v>
      </c>
      <c r="K3840">
        <v>0</v>
      </c>
      <c r="L3840">
        <v>76</v>
      </c>
    </row>
    <row r="3841" spans="1:12">
      <c r="A3841" s="183" t="s">
        <v>1191</v>
      </c>
      <c r="B3841" s="183" t="s">
        <v>1014</v>
      </c>
      <c r="C3841">
        <v>18820234</v>
      </c>
      <c r="D3841" s="501">
        <v>1237</v>
      </c>
      <c r="E3841">
        <v>0</v>
      </c>
      <c r="F3841">
        <v>0</v>
      </c>
      <c r="G3841">
        <v>0</v>
      </c>
      <c r="H3841" s="501">
        <v>1237</v>
      </c>
      <c r="I3841" s="183" t="s">
        <v>1015</v>
      </c>
      <c r="J3841" s="183" t="s">
        <v>12067</v>
      </c>
      <c r="K3841">
        <v>0</v>
      </c>
      <c r="L3841" s="501">
        <v>1237</v>
      </c>
    </row>
    <row r="3842" spans="1:12">
      <c r="A3842" s="183" t="s">
        <v>1304</v>
      </c>
      <c r="B3842" s="183" t="s">
        <v>1014</v>
      </c>
      <c r="C3842">
        <v>18820236</v>
      </c>
      <c r="D3842">
        <v>658</v>
      </c>
      <c r="E3842">
        <v>0</v>
      </c>
      <c r="F3842">
        <v>0</v>
      </c>
      <c r="G3842">
        <v>0</v>
      </c>
      <c r="H3842">
        <v>658</v>
      </c>
      <c r="I3842" s="183" t="s">
        <v>1015</v>
      </c>
      <c r="J3842" s="183" t="s">
        <v>12093</v>
      </c>
      <c r="K3842">
        <v>0</v>
      </c>
      <c r="L3842">
        <v>658</v>
      </c>
    </row>
    <row r="3843" spans="1:12">
      <c r="A3843" s="183" t="s">
        <v>2275</v>
      </c>
      <c r="B3843" s="183" t="s">
        <v>1203</v>
      </c>
      <c r="C3843">
        <v>18830205</v>
      </c>
      <c r="D3843" s="501">
        <v>2112</v>
      </c>
      <c r="E3843">
        <v>0</v>
      </c>
      <c r="F3843">
        <v>0</v>
      </c>
      <c r="G3843">
        <v>0</v>
      </c>
      <c r="H3843" s="501">
        <v>2112</v>
      </c>
      <c r="I3843" s="183" t="s">
        <v>1204</v>
      </c>
      <c r="J3843" s="183" t="s">
        <v>12060</v>
      </c>
      <c r="K3843">
        <v>0</v>
      </c>
      <c r="L3843" s="501">
        <v>2112</v>
      </c>
    </row>
    <row r="3844" spans="1:12">
      <c r="A3844" s="183" t="s">
        <v>2271</v>
      </c>
      <c r="B3844" s="183" t="s">
        <v>1203</v>
      </c>
      <c r="C3844">
        <v>18830207</v>
      </c>
      <c r="D3844" s="501">
        <v>1716</v>
      </c>
      <c r="E3844">
        <v>0</v>
      </c>
      <c r="F3844">
        <v>0</v>
      </c>
      <c r="G3844">
        <v>0</v>
      </c>
      <c r="H3844" s="501">
        <v>1716</v>
      </c>
      <c r="I3844" s="183" t="s">
        <v>1204</v>
      </c>
      <c r="J3844" s="183" t="s">
        <v>12053</v>
      </c>
      <c r="K3844">
        <v>0</v>
      </c>
      <c r="L3844" s="501">
        <v>1716</v>
      </c>
    </row>
    <row r="3845" spans="1:12">
      <c r="A3845" s="183" t="s">
        <v>2657</v>
      </c>
      <c r="B3845" s="183" t="s">
        <v>1203</v>
      </c>
      <c r="C3845">
        <v>18830213</v>
      </c>
      <c r="D3845" s="501">
        <v>2208</v>
      </c>
      <c r="E3845">
        <v>0</v>
      </c>
      <c r="F3845">
        <v>0</v>
      </c>
      <c r="G3845">
        <v>0</v>
      </c>
      <c r="H3845" s="501">
        <v>2208</v>
      </c>
      <c r="I3845" s="183" t="s">
        <v>1204</v>
      </c>
      <c r="J3845" s="183" t="s">
        <v>12066</v>
      </c>
      <c r="K3845">
        <v>0</v>
      </c>
      <c r="L3845" s="501">
        <v>2208</v>
      </c>
    </row>
    <row r="3846" spans="1:12">
      <c r="A3846" s="183" t="s">
        <v>2114</v>
      </c>
      <c r="B3846" s="183" t="s">
        <v>1203</v>
      </c>
      <c r="C3846">
        <v>18830215</v>
      </c>
      <c r="D3846" s="501">
        <v>1823</v>
      </c>
      <c r="E3846">
        <v>0</v>
      </c>
      <c r="F3846">
        <v>0</v>
      </c>
      <c r="G3846">
        <v>0</v>
      </c>
      <c r="H3846" s="501">
        <v>1823</v>
      </c>
      <c r="I3846" s="183" t="s">
        <v>1204</v>
      </c>
      <c r="J3846" s="183" t="s">
        <v>12093</v>
      </c>
      <c r="K3846">
        <v>0</v>
      </c>
      <c r="L3846" s="501">
        <v>1823</v>
      </c>
    </row>
    <row r="3847" spans="1:12">
      <c r="A3847" s="183" t="s">
        <v>2274</v>
      </c>
      <c r="B3847" s="183" t="s">
        <v>1203</v>
      </c>
      <c r="C3847">
        <v>18830232</v>
      </c>
      <c r="D3847" s="501">
        <v>1662</v>
      </c>
      <c r="E3847">
        <v>0</v>
      </c>
      <c r="F3847">
        <v>0</v>
      </c>
      <c r="G3847">
        <v>0</v>
      </c>
      <c r="H3847" s="501">
        <v>1662</v>
      </c>
      <c r="I3847" s="183" t="s">
        <v>1204</v>
      </c>
      <c r="J3847" s="183" t="s">
        <v>12066</v>
      </c>
      <c r="K3847">
        <v>0</v>
      </c>
      <c r="L3847" s="501">
        <v>1662</v>
      </c>
    </row>
    <row r="3848" spans="1:12">
      <c r="A3848" s="183" t="s">
        <v>2410</v>
      </c>
      <c r="B3848" s="183" t="s">
        <v>1203</v>
      </c>
      <c r="C3848">
        <v>18830234</v>
      </c>
      <c r="D3848" s="501">
        <v>1738</v>
      </c>
      <c r="E3848">
        <v>0</v>
      </c>
      <c r="F3848">
        <v>0</v>
      </c>
      <c r="G3848">
        <v>0</v>
      </c>
      <c r="H3848" s="501">
        <v>1738</v>
      </c>
      <c r="I3848" s="183" t="s">
        <v>1204</v>
      </c>
      <c r="J3848" s="183" t="s">
        <v>12094</v>
      </c>
      <c r="K3848">
        <v>0</v>
      </c>
      <c r="L3848" s="501">
        <v>1738</v>
      </c>
    </row>
    <row r="3849" spans="1:12">
      <c r="A3849" s="183" t="s">
        <v>2422</v>
      </c>
      <c r="B3849" s="183" t="s">
        <v>1206</v>
      </c>
      <c r="C3849">
        <v>18840202</v>
      </c>
      <c r="D3849" s="501">
        <v>2889</v>
      </c>
      <c r="E3849">
        <v>0</v>
      </c>
      <c r="F3849">
        <v>0</v>
      </c>
      <c r="G3849">
        <v>0</v>
      </c>
      <c r="H3849" s="501">
        <v>2889</v>
      </c>
      <c r="I3849" s="183" t="s">
        <v>1207</v>
      </c>
      <c r="J3849" s="183" t="s">
        <v>12081</v>
      </c>
      <c r="K3849">
        <v>0</v>
      </c>
      <c r="L3849" s="501">
        <v>2889</v>
      </c>
    </row>
    <row r="3850" spans="1:12">
      <c r="A3850" s="183" t="s">
        <v>1604</v>
      </c>
      <c r="B3850" s="183" t="s">
        <v>1206</v>
      </c>
      <c r="C3850">
        <v>18840213</v>
      </c>
      <c r="D3850" s="501">
        <v>2812</v>
      </c>
      <c r="E3850">
        <v>0</v>
      </c>
      <c r="F3850">
        <v>0</v>
      </c>
      <c r="G3850">
        <v>0</v>
      </c>
      <c r="H3850" s="501">
        <v>2812</v>
      </c>
      <c r="I3850" s="183" t="s">
        <v>1207</v>
      </c>
      <c r="J3850" s="183" t="s">
        <v>12081</v>
      </c>
      <c r="K3850">
        <v>0</v>
      </c>
      <c r="L3850" s="501">
        <v>2812</v>
      </c>
    </row>
    <row r="3851" spans="1:12">
      <c r="A3851" s="183" t="s">
        <v>1947</v>
      </c>
      <c r="B3851" s="183" t="s">
        <v>1206</v>
      </c>
      <c r="C3851">
        <v>18840214</v>
      </c>
      <c r="D3851" s="501">
        <v>3822</v>
      </c>
      <c r="E3851">
        <v>0</v>
      </c>
      <c r="F3851">
        <v>0</v>
      </c>
      <c r="G3851">
        <v>0</v>
      </c>
      <c r="H3851" s="501">
        <v>3822</v>
      </c>
      <c r="I3851" s="183" t="s">
        <v>1207</v>
      </c>
      <c r="J3851" s="183" t="s">
        <v>12048</v>
      </c>
      <c r="K3851">
        <v>0</v>
      </c>
      <c r="L3851" s="501">
        <v>3822</v>
      </c>
    </row>
    <row r="3852" spans="1:12">
      <c r="A3852" s="183" t="s">
        <v>2411</v>
      </c>
      <c r="B3852" s="183" t="s">
        <v>1206</v>
      </c>
      <c r="C3852">
        <v>18840226</v>
      </c>
      <c r="D3852" s="501">
        <v>2625</v>
      </c>
      <c r="E3852">
        <v>0</v>
      </c>
      <c r="F3852">
        <v>0</v>
      </c>
      <c r="G3852">
        <v>0</v>
      </c>
      <c r="H3852" s="501">
        <v>2625</v>
      </c>
      <c r="I3852" s="183" t="s">
        <v>1207</v>
      </c>
      <c r="J3852" s="183" t="s">
        <v>12092</v>
      </c>
      <c r="K3852">
        <v>0</v>
      </c>
      <c r="L3852" s="501">
        <v>2625</v>
      </c>
    </row>
    <row r="3853" spans="1:12">
      <c r="A3853" s="183" t="s">
        <v>2109</v>
      </c>
      <c r="B3853" s="183" t="s">
        <v>1206</v>
      </c>
      <c r="C3853">
        <v>18840236</v>
      </c>
      <c r="D3853" s="501">
        <v>1916</v>
      </c>
      <c r="E3853">
        <v>0</v>
      </c>
      <c r="F3853">
        <v>0</v>
      </c>
      <c r="G3853">
        <v>0</v>
      </c>
      <c r="H3853" s="501">
        <v>1916</v>
      </c>
      <c r="I3853" s="183" t="s">
        <v>1207</v>
      </c>
      <c r="J3853" s="183" t="s">
        <v>12092</v>
      </c>
      <c r="K3853">
        <v>0</v>
      </c>
      <c r="L3853" s="501">
        <v>1916</v>
      </c>
    </row>
    <row r="3854" spans="1:12">
      <c r="A3854" s="183" t="s">
        <v>6398</v>
      </c>
      <c r="B3854" s="183" t="s">
        <v>6338</v>
      </c>
      <c r="C3854">
        <v>8806392046501</v>
      </c>
      <c r="D3854">
        <v>235</v>
      </c>
      <c r="E3854">
        <v>0</v>
      </c>
      <c r="F3854">
        <v>0</v>
      </c>
      <c r="G3854">
        <v>0</v>
      </c>
      <c r="H3854">
        <v>235</v>
      </c>
      <c r="I3854" s="183" t="s">
        <v>6339</v>
      </c>
      <c r="J3854" s="183" t="s">
        <v>12092</v>
      </c>
      <c r="K3854">
        <v>0</v>
      </c>
      <c r="L3854">
        <v>235</v>
      </c>
    </row>
    <row r="3855" spans="1:12">
      <c r="A3855" s="183" t="s">
        <v>6340</v>
      </c>
      <c r="B3855" s="183" t="s">
        <v>6338</v>
      </c>
      <c r="C3855">
        <v>8806392046525</v>
      </c>
      <c r="D3855">
        <v>461</v>
      </c>
      <c r="E3855">
        <v>0</v>
      </c>
      <c r="F3855">
        <v>0</v>
      </c>
      <c r="G3855">
        <v>0</v>
      </c>
      <c r="H3855">
        <v>461</v>
      </c>
      <c r="I3855" s="183" t="s">
        <v>6339</v>
      </c>
      <c r="J3855" s="183" t="s">
        <v>12067</v>
      </c>
      <c r="K3855">
        <v>0</v>
      </c>
      <c r="L3855">
        <v>461</v>
      </c>
    </row>
    <row r="3856" spans="1:12">
      <c r="A3856" s="183" t="s">
        <v>6341</v>
      </c>
      <c r="B3856" s="183" t="s">
        <v>6338</v>
      </c>
      <c r="C3856">
        <v>8806392046549</v>
      </c>
      <c r="D3856">
        <v>241</v>
      </c>
      <c r="E3856">
        <v>0</v>
      </c>
      <c r="F3856">
        <v>0</v>
      </c>
      <c r="G3856">
        <v>0</v>
      </c>
      <c r="H3856">
        <v>241</v>
      </c>
      <c r="I3856" s="183" t="s">
        <v>6339</v>
      </c>
      <c r="J3856" s="183" t="s">
        <v>12053</v>
      </c>
      <c r="K3856">
        <v>0</v>
      </c>
      <c r="L3856">
        <v>241</v>
      </c>
    </row>
    <row r="3857" spans="1:12">
      <c r="A3857" s="183" t="s">
        <v>6369</v>
      </c>
      <c r="B3857" s="183" t="s">
        <v>6338</v>
      </c>
      <c r="C3857">
        <v>8806392046587</v>
      </c>
      <c r="D3857">
        <v>453</v>
      </c>
      <c r="E3857">
        <v>0</v>
      </c>
      <c r="F3857">
        <v>1</v>
      </c>
      <c r="G3857">
        <v>0</v>
      </c>
      <c r="H3857">
        <v>454</v>
      </c>
      <c r="I3857" s="183" t="s">
        <v>6339</v>
      </c>
      <c r="J3857" s="183" t="s">
        <v>12060</v>
      </c>
      <c r="K3857">
        <v>0</v>
      </c>
      <c r="L3857">
        <v>453</v>
      </c>
    </row>
    <row r="3858" spans="1:12">
      <c r="A3858" s="183" t="s">
        <v>1309</v>
      </c>
      <c r="B3858" s="183" t="s">
        <v>1029</v>
      </c>
      <c r="C3858">
        <v>8806392046945</v>
      </c>
      <c r="D3858">
        <v>294</v>
      </c>
      <c r="E3858">
        <v>0</v>
      </c>
      <c r="F3858">
        <v>2</v>
      </c>
      <c r="G3858">
        <v>0</v>
      </c>
      <c r="H3858">
        <v>296</v>
      </c>
      <c r="I3858" s="183" t="s">
        <v>1030</v>
      </c>
      <c r="J3858" s="183" t="s">
        <v>12067</v>
      </c>
      <c r="K3858">
        <v>0</v>
      </c>
      <c r="L3858">
        <v>294</v>
      </c>
    </row>
    <row r="3859" spans="1:12">
      <c r="A3859" s="183" t="s">
        <v>3871</v>
      </c>
      <c r="B3859" s="183" t="s">
        <v>1026</v>
      </c>
      <c r="C3859">
        <v>8806392047119</v>
      </c>
      <c r="D3859">
        <v>326</v>
      </c>
      <c r="E3859">
        <v>0</v>
      </c>
      <c r="F3859">
        <v>0</v>
      </c>
      <c r="G3859">
        <v>0</v>
      </c>
      <c r="H3859">
        <v>326</v>
      </c>
      <c r="I3859" s="183" t="s">
        <v>1027</v>
      </c>
      <c r="J3859" s="183" t="s">
        <v>12092</v>
      </c>
      <c r="K3859">
        <v>0</v>
      </c>
      <c r="L3859">
        <v>326</v>
      </c>
    </row>
    <row r="3860" spans="1:12">
      <c r="A3860" s="183" t="s">
        <v>636</v>
      </c>
      <c r="B3860" s="183" t="s">
        <v>1026</v>
      </c>
      <c r="C3860">
        <v>8806392047171</v>
      </c>
      <c r="D3860">
        <v>238</v>
      </c>
      <c r="E3860">
        <v>0</v>
      </c>
      <c r="F3860">
        <v>0</v>
      </c>
      <c r="G3860">
        <v>0</v>
      </c>
      <c r="H3860">
        <v>238</v>
      </c>
      <c r="I3860" s="183" t="s">
        <v>1027</v>
      </c>
      <c r="J3860" s="183" t="s">
        <v>12092</v>
      </c>
      <c r="K3860">
        <v>0</v>
      </c>
      <c r="L3860">
        <v>238</v>
      </c>
    </row>
    <row r="3861" spans="1:12">
      <c r="A3861" s="183" t="s">
        <v>637</v>
      </c>
      <c r="B3861" s="183" t="s">
        <v>1026</v>
      </c>
      <c r="C3861">
        <v>8806392047201</v>
      </c>
      <c r="D3861">
        <v>373</v>
      </c>
      <c r="E3861">
        <v>0</v>
      </c>
      <c r="F3861">
        <v>0</v>
      </c>
      <c r="G3861">
        <v>0</v>
      </c>
      <c r="H3861">
        <v>373</v>
      </c>
      <c r="I3861" s="183" t="s">
        <v>1027</v>
      </c>
      <c r="J3861" s="183" t="s">
        <v>12053</v>
      </c>
      <c r="K3861">
        <v>0</v>
      </c>
      <c r="L3861">
        <v>373</v>
      </c>
    </row>
    <row r="3862" spans="1:12">
      <c r="A3862" s="183" t="s">
        <v>3738</v>
      </c>
      <c r="B3862" s="183" t="s">
        <v>1026</v>
      </c>
      <c r="C3862">
        <v>8806392047256</v>
      </c>
      <c r="D3862">
        <v>938</v>
      </c>
      <c r="E3862">
        <v>0</v>
      </c>
      <c r="F3862">
        <v>0</v>
      </c>
      <c r="G3862">
        <v>0</v>
      </c>
      <c r="H3862">
        <v>938</v>
      </c>
      <c r="I3862" s="183" t="s">
        <v>1027</v>
      </c>
      <c r="J3862" s="183" t="s">
        <v>12093</v>
      </c>
      <c r="K3862">
        <v>0</v>
      </c>
      <c r="L3862">
        <v>938</v>
      </c>
    </row>
    <row r="3863" spans="1:12">
      <c r="A3863" s="183" t="s">
        <v>3837</v>
      </c>
      <c r="B3863" s="183" t="s">
        <v>1026</v>
      </c>
      <c r="C3863">
        <v>8806392047263</v>
      </c>
      <c r="D3863">
        <v>119</v>
      </c>
      <c r="E3863">
        <v>0</v>
      </c>
      <c r="F3863">
        <v>0</v>
      </c>
      <c r="G3863">
        <v>0</v>
      </c>
      <c r="H3863">
        <v>119</v>
      </c>
      <c r="I3863" s="183" t="s">
        <v>1027</v>
      </c>
      <c r="J3863" s="183" t="s">
        <v>12081</v>
      </c>
      <c r="K3863">
        <v>0</v>
      </c>
      <c r="L3863">
        <v>119</v>
      </c>
    </row>
    <row r="3864" spans="1:12">
      <c r="A3864" s="183" t="s">
        <v>2398</v>
      </c>
      <c r="B3864" s="183" t="s">
        <v>1455</v>
      </c>
      <c r="C3864">
        <v>8809867707655</v>
      </c>
      <c r="D3864">
        <v>553</v>
      </c>
      <c r="E3864">
        <v>0</v>
      </c>
      <c r="F3864">
        <v>0</v>
      </c>
      <c r="G3864">
        <v>0</v>
      </c>
      <c r="H3864">
        <v>553</v>
      </c>
      <c r="I3864" s="183" t="s">
        <v>1456</v>
      </c>
      <c r="J3864" s="183" t="s">
        <v>12094</v>
      </c>
      <c r="K3864">
        <v>0</v>
      </c>
      <c r="L3864">
        <v>553</v>
      </c>
    </row>
    <row r="3865" spans="1:12">
      <c r="A3865" s="183" t="s">
        <v>1779</v>
      </c>
      <c r="B3865" s="183" t="s">
        <v>1455</v>
      </c>
      <c r="C3865">
        <v>8809867707662</v>
      </c>
      <c r="D3865">
        <v>579</v>
      </c>
      <c r="E3865">
        <v>0</v>
      </c>
      <c r="F3865">
        <v>0</v>
      </c>
      <c r="G3865">
        <v>0</v>
      </c>
      <c r="H3865">
        <v>579</v>
      </c>
      <c r="I3865" s="183" t="s">
        <v>1456</v>
      </c>
      <c r="J3865" s="183" t="s">
        <v>12093</v>
      </c>
      <c r="K3865">
        <v>0</v>
      </c>
      <c r="L3865">
        <v>579</v>
      </c>
    </row>
    <row r="3866" spans="1:12">
      <c r="A3866" s="183" t="s">
        <v>1613</v>
      </c>
      <c r="B3866" s="183" t="s">
        <v>1455</v>
      </c>
      <c r="C3866">
        <v>8809867707686</v>
      </c>
      <c r="D3866">
        <v>906</v>
      </c>
      <c r="E3866">
        <v>0</v>
      </c>
      <c r="F3866">
        <v>0</v>
      </c>
      <c r="G3866">
        <v>0</v>
      </c>
      <c r="H3866">
        <v>906</v>
      </c>
      <c r="I3866" s="183" t="s">
        <v>1456</v>
      </c>
      <c r="J3866" s="183" t="s">
        <v>12094</v>
      </c>
      <c r="K3866">
        <v>0</v>
      </c>
      <c r="L3866">
        <v>906</v>
      </c>
    </row>
    <row r="3867" spans="1:12">
      <c r="A3867" s="183" t="s">
        <v>2099</v>
      </c>
      <c r="B3867" s="183" t="s">
        <v>1455</v>
      </c>
      <c r="C3867">
        <v>8809867707730</v>
      </c>
      <c r="D3867">
        <v>753</v>
      </c>
      <c r="E3867">
        <v>0</v>
      </c>
      <c r="F3867">
        <v>0</v>
      </c>
      <c r="G3867">
        <v>0</v>
      </c>
      <c r="H3867">
        <v>753</v>
      </c>
      <c r="I3867" s="183" t="s">
        <v>1456</v>
      </c>
      <c r="J3867" s="183" t="s">
        <v>12094</v>
      </c>
      <c r="K3867">
        <v>0</v>
      </c>
      <c r="L3867">
        <v>753</v>
      </c>
    </row>
    <row r="3868" spans="1:12">
      <c r="A3868" s="183" t="s">
        <v>1605</v>
      </c>
      <c r="B3868" s="183" t="s">
        <v>1455</v>
      </c>
      <c r="C3868">
        <v>8809867707785</v>
      </c>
      <c r="D3868">
        <v>771</v>
      </c>
      <c r="E3868">
        <v>0</v>
      </c>
      <c r="F3868">
        <v>0</v>
      </c>
      <c r="G3868">
        <v>0</v>
      </c>
      <c r="H3868">
        <v>771</v>
      </c>
      <c r="I3868" s="183" t="s">
        <v>1456</v>
      </c>
      <c r="J3868" s="183" t="s">
        <v>12063</v>
      </c>
      <c r="K3868">
        <v>0</v>
      </c>
      <c r="L3868">
        <v>771</v>
      </c>
    </row>
    <row r="3869" spans="1:12">
      <c r="A3869" s="183" t="s">
        <v>648</v>
      </c>
      <c r="B3869" s="183" t="s">
        <v>1069</v>
      </c>
      <c r="C3869">
        <v>8806392047751</v>
      </c>
      <c r="D3869">
        <v>697</v>
      </c>
      <c r="E3869">
        <v>0</v>
      </c>
      <c r="F3869">
        <v>0</v>
      </c>
      <c r="G3869">
        <v>0</v>
      </c>
      <c r="H3869">
        <v>697</v>
      </c>
      <c r="I3869" s="183" t="s">
        <v>1070</v>
      </c>
      <c r="J3869" s="183" t="s">
        <v>12087</v>
      </c>
      <c r="K3869">
        <v>0</v>
      </c>
      <c r="L3869">
        <v>697</v>
      </c>
    </row>
    <row r="3870" spans="1:12">
      <c r="A3870" s="183" t="s">
        <v>3041</v>
      </c>
      <c r="B3870" s="183" t="s">
        <v>1069</v>
      </c>
      <c r="C3870">
        <v>8806392047805</v>
      </c>
      <c r="D3870">
        <v>612</v>
      </c>
      <c r="E3870">
        <v>0</v>
      </c>
      <c r="F3870">
        <v>0</v>
      </c>
      <c r="G3870">
        <v>0</v>
      </c>
      <c r="H3870">
        <v>612</v>
      </c>
      <c r="I3870" s="183" t="s">
        <v>1070</v>
      </c>
      <c r="J3870" s="183" t="s">
        <v>12053</v>
      </c>
      <c r="K3870">
        <v>0</v>
      </c>
      <c r="L3870">
        <v>612</v>
      </c>
    </row>
    <row r="3871" spans="1:12">
      <c r="A3871" s="183" t="s">
        <v>655</v>
      </c>
      <c r="B3871" s="183" t="s">
        <v>1069</v>
      </c>
      <c r="C3871">
        <v>8806392047898</v>
      </c>
      <c r="D3871">
        <v>353</v>
      </c>
      <c r="E3871">
        <v>0</v>
      </c>
      <c r="F3871">
        <v>0</v>
      </c>
      <c r="G3871">
        <v>0</v>
      </c>
      <c r="H3871">
        <v>353</v>
      </c>
      <c r="I3871" s="183" t="s">
        <v>1070</v>
      </c>
      <c r="J3871" s="183" t="s">
        <v>12091</v>
      </c>
      <c r="K3871">
        <v>0</v>
      </c>
      <c r="L3871">
        <v>353</v>
      </c>
    </row>
    <row r="3872" spans="1:12">
      <c r="A3872" s="183" t="s">
        <v>3072</v>
      </c>
      <c r="B3872" s="183" t="s">
        <v>1069</v>
      </c>
      <c r="C3872">
        <v>8806392047904</v>
      </c>
      <c r="D3872">
        <v>275</v>
      </c>
      <c r="E3872">
        <v>0</v>
      </c>
      <c r="F3872">
        <v>0</v>
      </c>
      <c r="G3872">
        <v>0</v>
      </c>
      <c r="H3872">
        <v>275</v>
      </c>
      <c r="I3872" s="183" t="s">
        <v>1070</v>
      </c>
      <c r="J3872" s="183" t="s">
        <v>12091</v>
      </c>
      <c r="K3872">
        <v>0</v>
      </c>
      <c r="L3872">
        <v>275</v>
      </c>
    </row>
    <row r="3873" spans="1:12">
      <c r="A3873" s="183" t="s">
        <v>771</v>
      </c>
      <c r="B3873" s="183" t="s">
        <v>993</v>
      </c>
      <c r="C3873">
        <v>8806392049748</v>
      </c>
      <c r="D3873">
        <v>595</v>
      </c>
      <c r="E3873">
        <v>0</v>
      </c>
      <c r="F3873">
        <v>0</v>
      </c>
      <c r="G3873">
        <v>0</v>
      </c>
      <c r="H3873">
        <v>595</v>
      </c>
      <c r="I3873" s="183" t="s">
        <v>994</v>
      </c>
      <c r="J3873" s="183" t="s">
        <v>12087</v>
      </c>
      <c r="K3873">
        <v>0</v>
      </c>
      <c r="L3873">
        <v>595</v>
      </c>
    </row>
    <row r="3874" spans="1:12">
      <c r="A3874" s="183" t="s">
        <v>2991</v>
      </c>
      <c r="B3874" s="183" t="s">
        <v>993</v>
      </c>
      <c r="C3874">
        <v>8806392049779</v>
      </c>
      <c r="D3874">
        <v>533</v>
      </c>
      <c r="E3874">
        <v>0</v>
      </c>
      <c r="F3874">
        <v>0</v>
      </c>
      <c r="G3874">
        <v>0</v>
      </c>
      <c r="H3874">
        <v>533</v>
      </c>
      <c r="I3874" s="183" t="s">
        <v>994</v>
      </c>
      <c r="J3874" s="183" t="s">
        <v>12091</v>
      </c>
      <c r="K3874">
        <v>0</v>
      </c>
      <c r="L3874">
        <v>533</v>
      </c>
    </row>
    <row r="3875" spans="1:12">
      <c r="A3875" s="183" t="s">
        <v>772</v>
      </c>
      <c r="B3875" s="183" t="s">
        <v>993</v>
      </c>
      <c r="C3875">
        <v>8806392049861</v>
      </c>
      <c r="D3875" s="501">
        <v>1439</v>
      </c>
      <c r="E3875">
        <v>0</v>
      </c>
      <c r="F3875">
        <v>0</v>
      </c>
      <c r="G3875">
        <v>0</v>
      </c>
      <c r="H3875" s="501">
        <v>1439</v>
      </c>
      <c r="I3875" s="183" t="s">
        <v>994</v>
      </c>
      <c r="J3875" s="183" t="s">
        <v>12087</v>
      </c>
      <c r="K3875">
        <v>0</v>
      </c>
      <c r="L3875" s="501">
        <v>1439</v>
      </c>
    </row>
    <row r="3876" spans="1:12">
      <c r="A3876" s="183" t="s">
        <v>662</v>
      </c>
      <c r="B3876" s="183" t="s">
        <v>1308</v>
      </c>
      <c r="C3876">
        <v>8800143693082</v>
      </c>
      <c r="D3876" s="501">
        <v>6339</v>
      </c>
      <c r="E3876">
        <v>0</v>
      </c>
      <c r="F3876">
        <v>0</v>
      </c>
      <c r="G3876">
        <v>0</v>
      </c>
      <c r="H3876" s="501">
        <v>6339</v>
      </c>
      <c r="I3876" s="183" t="s">
        <v>1023</v>
      </c>
      <c r="J3876" s="183" t="s">
        <v>12094</v>
      </c>
      <c r="K3876">
        <v>0</v>
      </c>
      <c r="L3876" s="501">
        <v>6339</v>
      </c>
    </row>
    <row r="3877" spans="1:12">
      <c r="A3877" s="183" t="s">
        <v>667</v>
      </c>
      <c r="B3877" s="183" t="s">
        <v>1194</v>
      </c>
      <c r="C3877">
        <v>8800143693150</v>
      </c>
      <c r="D3877" s="501">
        <v>1290</v>
      </c>
      <c r="E3877">
        <v>0</v>
      </c>
      <c r="F3877">
        <v>0</v>
      </c>
      <c r="G3877">
        <v>0</v>
      </c>
      <c r="H3877" s="501">
        <v>1290</v>
      </c>
      <c r="I3877" s="183" t="s">
        <v>1023</v>
      </c>
      <c r="J3877" s="183" t="s">
        <v>12094</v>
      </c>
      <c r="K3877">
        <v>0</v>
      </c>
      <c r="L3877" s="501">
        <v>1290</v>
      </c>
    </row>
    <row r="3878" spans="1:12">
      <c r="A3878" s="183" t="s">
        <v>676</v>
      </c>
      <c r="B3878" s="183" t="s">
        <v>1076</v>
      </c>
      <c r="C3878">
        <v>8800143693365</v>
      </c>
      <c r="D3878" s="501">
        <v>2111</v>
      </c>
      <c r="E3878">
        <v>0</v>
      </c>
      <c r="F3878">
        <v>0</v>
      </c>
      <c r="G3878">
        <v>0</v>
      </c>
      <c r="H3878" s="501">
        <v>2111</v>
      </c>
      <c r="I3878" s="183" t="s">
        <v>1023</v>
      </c>
      <c r="J3878" s="183" t="s">
        <v>12050</v>
      </c>
      <c r="K3878">
        <v>0</v>
      </c>
      <c r="L3878" s="501">
        <v>2111</v>
      </c>
    </row>
    <row r="3879" spans="1:12">
      <c r="A3879" s="183" t="s">
        <v>3465</v>
      </c>
      <c r="B3879" s="183" t="s">
        <v>3466</v>
      </c>
      <c r="C3879">
        <v>8809986728319</v>
      </c>
      <c r="D3879">
        <v>756</v>
      </c>
      <c r="E3879">
        <v>0</v>
      </c>
      <c r="F3879">
        <v>0</v>
      </c>
      <c r="G3879">
        <v>0</v>
      </c>
      <c r="H3879">
        <v>756</v>
      </c>
      <c r="I3879" s="183" t="s">
        <v>3443</v>
      </c>
      <c r="J3879" s="183" t="s">
        <v>12081</v>
      </c>
      <c r="K3879">
        <v>0</v>
      </c>
      <c r="L3879">
        <v>756</v>
      </c>
    </row>
    <row r="3880" spans="1:12">
      <c r="A3880" s="183" t="s">
        <v>3467</v>
      </c>
      <c r="B3880" s="183" t="s">
        <v>3466</v>
      </c>
      <c r="C3880">
        <v>8809986728326</v>
      </c>
      <c r="D3880">
        <v>448</v>
      </c>
      <c r="E3880">
        <v>0</v>
      </c>
      <c r="F3880">
        <v>0</v>
      </c>
      <c r="G3880">
        <v>0</v>
      </c>
      <c r="H3880">
        <v>448</v>
      </c>
      <c r="I3880" s="183" t="s">
        <v>3443</v>
      </c>
      <c r="J3880" s="183" t="s">
        <v>12091</v>
      </c>
      <c r="K3880">
        <v>0</v>
      </c>
      <c r="L3880">
        <v>448</v>
      </c>
    </row>
    <row r="3881" spans="1:12">
      <c r="A3881" s="183" t="s">
        <v>3476</v>
      </c>
      <c r="B3881" s="183" t="s">
        <v>3458</v>
      </c>
      <c r="C3881">
        <v>8809986728388</v>
      </c>
      <c r="D3881">
        <v>713</v>
      </c>
      <c r="E3881">
        <v>0</v>
      </c>
      <c r="F3881">
        <v>0</v>
      </c>
      <c r="G3881">
        <v>0</v>
      </c>
      <c r="H3881">
        <v>713</v>
      </c>
      <c r="I3881" s="183" t="s">
        <v>3443</v>
      </c>
      <c r="J3881" s="183" t="s">
        <v>12091</v>
      </c>
      <c r="K3881">
        <v>0</v>
      </c>
      <c r="L3881">
        <v>713</v>
      </c>
    </row>
    <row r="3882" spans="1:12">
      <c r="A3882" s="183" t="s">
        <v>3472</v>
      </c>
      <c r="B3882" s="183" t="s">
        <v>3458</v>
      </c>
      <c r="C3882">
        <v>8809986728401</v>
      </c>
      <c r="D3882">
        <v>717</v>
      </c>
      <c r="E3882">
        <v>0</v>
      </c>
      <c r="F3882">
        <v>0</v>
      </c>
      <c r="G3882">
        <v>0</v>
      </c>
      <c r="H3882">
        <v>717</v>
      </c>
      <c r="I3882" s="183" t="s">
        <v>3443</v>
      </c>
      <c r="J3882" s="183" t="s">
        <v>12094</v>
      </c>
      <c r="K3882">
        <v>0</v>
      </c>
      <c r="L3882">
        <v>717</v>
      </c>
    </row>
    <row r="3883" spans="1:12">
      <c r="A3883" s="183" t="s">
        <v>3457</v>
      </c>
      <c r="B3883" s="183" t="s">
        <v>3458</v>
      </c>
      <c r="C3883">
        <v>8809986728418</v>
      </c>
      <c r="D3883">
        <v>919</v>
      </c>
      <c r="E3883">
        <v>0</v>
      </c>
      <c r="F3883">
        <v>1</v>
      </c>
      <c r="G3883">
        <v>0</v>
      </c>
      <c r="H3883">
        <v>920</v>
      </c>
      <c r="I3883" s="183" t="s">
        <v>3443</v>
      </c>
      <c r="J3883" s="183" t="s">
        <v>12092</v>
      </c>
      <c r="K3883">
        <v>0</v>
      </c>
      <c r="L3883">
        <v>919</v>
      </c>
    </row>
    <row r="3884" spans="1:12">
      <c r="A3884" s="183" t="s">
        <v>3471</v>
      </c>
      <c r="B3884" s="183" t="s">
        <v>3462</v>
      </c>
      <c r="C3884">
        <v>8809986728470</v>
      </c>
      <c r="D3884">
        <v>178</v>
      </c>
      <c r="E3884">
        <v>0</v>
      </c>
      <c r="F3884">
        <v>0</v>
      </c>
      <c r="G3884">
        <v>0</v>
      </c>
      <c r="H3884">
        <v>178</v>
      </c>
      <c r="I3884" s="183" t="s">
        <v>3443</v>
      </c>
      <c r="J3884" s="183" t="s">
        <v>12094</v>
      </c>
      <c r="K3884">
        <v>0</v>
      </c>
      <c r="L3884">
        <v>178</v>
      </c>
    </row>
    <row r="3885" spans="1:12">
      <c r="A3885" s="183" t="s">
        <v>6389</v>
      </c>
      <c r="B3885" s="183" t="s">
        <v>6338</v>
      </c>
      <c r="C3885">
        <v>8806392046570</v>
      </c>
      <c r="D3885">
        <v>497</v>
      </c>
      <c r="E3885">
        <v>0</v>
      </c>
      <c r="F3885">
        <v>0</v>
      </c>
      <c r="G3885">
        <v>0</v>
      </c>
      <c r="H3885">
        <v>497</v>
      </c>
      <c r="I3885" s="183" t="s">
        <v>6339</v>
      </c>
      <c r="J3885" s="183" t="s">
        <v>12067</v>
      </c>
      <c r="K3885">
        <v>0</v>
      </c>
      <c r="L3885">
        <v>497</v>
      </c>
    </row>
    <row r="3886" spans="1:12">
      <c r="A3886" s="183" t="s">
        <v>6343</v>
      </c>
      <c r="B3886" s="183" t="s">
        <v>6338</v>
      </c>
      <c r="C3886">
        <v>8806392046716</v>
      </c>
      <c r="D3886">
        <v>464</v>
      </c>
      <c r="E3886">
        <v>0</v>
      </c>
      <c r="F3886">
        <v>0</v>
      </c>
      <c r="G3886">
        <v>0</v>
      </c>
      <c r="H3886">
        <v>464</v>
      </c>
      <c r="I3886" s="183" t="s">
        <v>6339</v>
      </c>
      <c r="J3886" s="183" t="s">
        <v>12054</v>
      </c>
      <c r="K3886">
        <v>0</v>
      </c>
      <c r="L3886">
        <v>464</v>
      </c>
    </row>
    <row r="3887" spans="1:12">
      <c r="A3887" s="183" t="s">
        <v>7486</v>
      </c>
      <c r="B3887" s="183" t="s">
        <v>1029</v>
      </c>
      <c r="C3887">
        <v>8806392046778</v>
      </c>
      <c r="D3887">
        <v>258</v>
      </c>
      <c r="E3887">
        <v>0</v>
      </c>
      <c r="F3887">
        <v>0</v>
      </c>
      <c r="G3887">
        <v>0</v>
      </c>
      <c r="H3887">
        <v>258</v>
      </c>
      <c r="I3887" s="183" t="s">
        <v>1030</v>
      </c>
      <c r="J3887" s="183" t="s">
        <v>12091</v>
      </c>
      <c r="K3887">
        <v>0</v>
      </c>
      <c r="L3887">
        <v>258</v>
      </c>
    </row>
    <row r="3888" spans="1:12">
      <c r="A3888" s="183" t="s">
        <v>1113</v>
      </c>
      <c r="B3888" s="183" t="s">
        <v>1029</v>
      </c>
      <c r="C3888">
        <v>8806392046860</v>
      </c>
      <c r="D3888">
        <v>303</v>
      </c>
      <c r="E3888">
        <v>0</v>
      </c>
      <c r="F3888">
        <v>0</v>
      </c>
      <c r="G3888">
        <v>0</v>
      </c>
      <c r="H3888">
        <v>303</v>
      </c>
      <c r="I3888" s="183" t="s">
        <v>1030</v>
      </c>
      <c r="J3888" s="183" t="s">
        <v>12093</v>
      </c>
      <c r="K3888">
        <v>0</v>
      </c>
      <c r="L3888">
        <v>303</v>
      </c>
    </row>
    <row r="3889" spans="1:12">
      <c r="A3889" s="183" t="s">
        <v>3438</v>
      </c>
      <c r="B3889" s="183" t="s">
        <v>1029</v>
      </c>
      <c r="C3889">
        <v>8806392047003</v>
      </c>
      <c r="D3889" s="501">
        <v>1077</v>
      </c>
      <c r="E3889">
        <v>0</v>
      </c>
      <c r="F3889">
        <v>0</v>
      </c>
      <c r="G3889">
        <v>0</v>
      </c>
      <c r="H3889" s="501">
        <v>1077</v>
      </c>
      <c r="I3889" s="183" t="s">
        <v>1030</v>
      </c>
      <c r="J3889" s="183" t="s">
        <v>12092</v>
      </c>
      <c r="K3889">
        <v>0</v>
      </c>
      <c r="L3889" s="501">
        <v>1077</v>
      </c>
    </row>
    <row r="3890" spans="1:12">
      <c r="A3890" s="183" t="s">
        <v>3439</v>
      </c>
      <c r="B3890" s="183" t="s">
        <v>1029</v>
      </c>
      <c r="C3890">
        <v>8806392047058</v>
      </c>
      <c r="D3890">
        <v>164</v>
      </c>
      <c r="E3890">
        <v>0</v>
      </c>
      <c r="F3890">
        <v>0</v>
      </c>
      <c r="G3890">
        <v>0</v>
      </c>
      <c r="H3890">
        <v>164</v>
      </c>
      <c r="I3890" s="183" t="s">
        <v>1030</v>
      </c>
      <c r="J3890" s="183" t="s">
        <v>12094</v>
      </c>
      <c r="K3890">
        <v>0</v>
      </c>
      <c r="L3890">
        <v>164</v>
      </c>
    </row>
    <row r="3891" spans="1:12">
      <c r="A3891" s="183" t="s">
        <v>3503</v>
      </c>
      <c r="B3891" s="183" t="s">
        <v>1026</v>
      </c>
      <c r="C3891">
        <v>8806392047126</v>
      </c>
      <c r="D3891">
        <v>181</v>
      </c>
      <c r="E3891">
        <v>0</v>
      </c>
      <c r="F3891">
        <v>0</v>
      </c>
      <c r="G3891">
        <v>0</v>
      </c>
      <c r="H3891">
        <v>181</v>
      </c>
      <c r="I3891" s="183" t="s">
        <v>1027</v>
      </c>
      <c r="J3891" s="183" t="s">
        <v>12093</v>
      </c>
      <c r="K3891">
        <v>0</v>
      </c>
      <c r="L3891">
        <v>181</v>
      </c>
    </row>
    <row r="3892" spans="1:12">
      <c r="A3892" s="183" t="s">
        <v>3739</v>
      </c>
      <c r="B3892" s="183" t="s">
        <v>1026</v>
      </c>
      <c r="C3892">
        <v>8806392047157</v>
      </c>
      <c r="D3892">
        <v>135</v>
      </c>
      <c r="E3892">
        <v>0</v>
      </c>
      <c r="F3892">
        <v>2</v>
      </c>
      <c r="G3892">
        <v>0</v>
      </c>
      <c r="H3892">
        <v>137</v>
      </c>
      <c r="I3892" s="183" t="s">
        <v>1027</v>
      </c>
      <c r="J3892" s="183" t="s">
        <v>12094</v>
      </c>
      <c r="K3892">
        <v>0</v>
      </c>
      <c r="L3892">
        <v>135</v>
      </c>
    </row>
    <row r="3893" spans="1:12">
      <c r="A3893" s="183" t="s">
        <v>3784</v>
      </c>
      <c r="B3893" s="183" t="s">
        <v>1026</v>
      </c>
      <c r="C3893">
        <v>8806392047355</v>
      </c>
      <c r="D3893">
        <v>598</v>
      </c>
      <c r="E3893">
        <v>0</v>
      </c>
      <c r="F3893">
        <v>0</v>
      </c>
      <c r="G3893">
        <v>0</v>
      </c>
      <c r="H3893">
        <v>598</v>
      </c>
      <c r="I3893" s="183" t="s">
        <v>1027</v>
      </c>
      <c r="J3893" s="183" t="s">
        <v>12081</v>
      </c>
      <c r="K3893">
        <v>0</v>
      </c>
      <c r="L3893">
        <v>598</v>
      </c>
    </row>
    <row r="3894" spans="1:12">
      <c r="A3894" s="183" t="s">
        <v>644</v>
      </c>
      <c r="B3894" s="183" t="s">
        <v>1026</v>
      </c>
      <c r="C3894">
        <v>8806392047362</v>
      </c>
      <c r="D3894">
        <v>155</v>
      </c>
      <c r="E3894">
        <v>0</v>
      </c>
      <c r="F3894">
        <v>0</v>
      </c>
      <c r="G3894">
        <v>0</v>
      </c>
      <c r="H3894">
        <v>155</v>
      </c>
      <c r="I3894" s="183" t="s">
        <v>1027</v>
      </c>
      <c r="J3894" s="183" t="s">
        <v>12081</v>
      </c>
      <c r="K3894">
        <v>0</v>
      </c>
      <c r="L3894">
        <v>155</v>
      </c>
    </row>
    <row r="3895" spans="1:12">
      <c r="A3895" s="183" t="s">
        <v>2792</v>
      </c>
      <c r="B3895" s="183" t="s">
        <v>1455</v>
      </c>
      <c r="C3895">
        <v>8809867707648</v>
      </c>
      <c r="D3895">
        <v>589</v>
      </c>
      <c r="E3895">
        <v>0</v>
      </c>
      <c r="F3895">
        <v>0</v>
      </c>
      <c r="G3895">
        <v>0</v>
      </c>
      <c r="H3895">
        <v>589</v>
      </c>
      <c r="I3895" s="183" t="s">
        <v>1456</v>
      </c>
      <c r="J3895" s="183" t="s">
        <v>12066</v>
      </c>
      <c r="K3895">
        <v>0</v>
      </c>
      <c r="L3895">
        <v>589</v>
      </c>
    </row>
    <row r="3896" spans="1:12">
      <c r="A3896" s="183" t="s">
        <v>2780</v>
      </c>
      <c r="B3896" s="183" t="s">
        <v>1455</v>
      </c>
      <c r="C3896">
        <v>8809867707716</v>
      </c>
      <c r="D3896">
        <v>811</v>
      </c>
      <c r="E3896">
        <v>0</v>
      </c>
      <c r="F3896">
        <v>1</v>
      </c>
      <c r="G3896">
        <v>0</v>
      </c>
      <c r="H3896">
        <v>812</v>
      </c>
      <c r="I3896" s="183" t="s">
        <v>1456</v>
      </c>
      <c r="J3896" s="183" t="s">
        <v>12093</v>
      </c>
      <c r="K3896">
        <v>0</v>
      </c>
      <c r="L3896">
        <v>811</v>
      </c>
    </row>
    <row r="3897" spans="1:12">
      <c r="A3897" s="183" t="s">
        <v>2747</v>
      </c>
      <c r="B3897" s="183" t="s">
        <v>1455</v>
      </c>
      <c r="C3897">
        <v>8809867707723</v>
      </c>
      <c r="D3897">
        <v>748</v>
      </c>
      <c r="E3897">
        <v>0</v>
      </c>
      <c r="F3897">
        <v>0</v>
      </c>
      <c r="G3897">
        <v>0</v>
      </c>
      <c r="H3897">
        <v>748</v>
      </c>
      <c r="I3897" s="183" t="s">
        <v>1456</v>
      </c>
      <c r="J3897" s="183" t="s">
        <v>12087</v>
      </c>
      <c r="K3897">
        <v>0</v>
      </c>
      <c r="L3897">
        <v>748</v>
      </c>
    </row>
    <row r="3898" spans="1:12">
      <c r="A3898" s="183" t="s">
        <v>2793</v>
      </c>
      <c r="B3898" s="183" t="s">
        <v>1455</v>
      </c>
      <c r="C3898">
        <v>8809867707778</v>
      </c>
      <c r="D3898">
        <v>712</v>
      </c>
      <c r="E3898">
        <v>0</v>
      </c>
      <c r="F3898">
        <v>0</v>
      </c>
      <c r="G3898">
        <v>0</v>
      </c>
      <c r="H3898">
        <v>712</v>
      </c>
      <c r="I3898" s="183" t="s">
        <v>1456</v>
      </c>
      <c r="J3898" s="183" t="s">
        <v>12085</v>
      </c>
      <c r="K3898">
        <v>0</v>
      </c>
      <c r="L3898">
        <v>712</v>
      </c>
    </row>
    <row r="3899" spans="1:12">
      <c r="A3899" s="183" t="s">
        <v>2862</v>
      </c>
      <c r="B3899" s="183" t="s">
        <v>1455</v>
      </c>
      <c r="C3899">
        <v>8809867707815</v>
      </c>
      <c r="D3899">
        <v>986</v>
      </c>
      <c r="E3899">
        <v>0</v>
      </c>
      <c r="F3899">
        <v>0</v>
      </c>
      <c r="G3899">
        <v>0</v>
      </c>
      <c r="H3899">
        <v>986</v>
      </c>
      <c r="I3899" s="183" t="s">
        <v>1456</v>
      </c>
      <c r="J3899" s="183" t="s">
        <v>12048</v>
      </c>
      <c r="K3899">
        <v>0</v>
      </c>
      <c r="L3899">
        <v>986</v>
      </c>
    </row>
    <row r="3900" spans="1:12">
      <c r="A3900" s="183" t="s">
        <v>3522</v>
      </c>
      <c r="B3900" s="183" t="s">
        <v>1069</v>
      </c>
      <c r="C3900">
        <v>8806392047799</v>
      </c>
      <c r="D3900">
        <v>794</v>
      </c>
      <c r="E3900">
        <v>0</v>
      </c>
      <c r="F3900">
        <v>0</v>
      </c>
      <c r="G3900">
        <v>0</v>
      </c>
      <c r="H3900">
        <v>794</v>
      </c>
      <c r="I3900" s="183" t="s">
        <v>1070</v>
      </c>
      <c r="J3900" s="183" t="s">
        <v>12081</v>
      </c>
      <c r="K3900">
        <v>0</v>
      </c>
      <c r="L3900">
        <v>794</v>
      </c>
    </row>
    <row r="3901" spans="1:12">
      <c r="A3901" s="183" t="s">
        <v>2920</v>
      </c>
      <c r="B3901" s="183" t="s">
        <v>1069</v>
      </c>
      <c r="C3901">
        <v>8806392047980</v>
      </c>
      <c r="D3901">
        <v>942</v>
      </c>
      <c r="E3901">
        <v>0</v>
      </c>
      <c r="F3901">
        <v>0</v>
      </c>
      <c r="G3901">
        <v>0</v>
      </c>
      <c r="H3901">
        <v>942</v>
      </c>
      <c r="I3901" s="183" t="s">
        <v>1070</v>
      </c>
      <c r="J3901" s="183" t="s">
        <v>12081</v>
      </c>
      <c r="K3901">
        <v>0</v>
      </c>
      <c r="L3901">
        <v>942</v>
      </c>
    </row>
    <row r="3902" spans="1:12">
      <c r="A3902" s="183" t="s">
        <v>3133</v>
      </c>
      <c r="B3902" s="183" t="s">
        <v>3134</v>
      </c>
      <c r="C3902">
        <v>8800143693198</v>
      </c>
      <c r="D3902" s="501">
        <v>1704</v>
      </c>
      <c r="E3902">
        <v>0</v>
      </c>
      <c r="F3902">
        <v>0</v>
      </c>
      <c r="G3902">
        <v>0</v>
      </c>
      <c r="H3902" s="501">
        <v>1704</v>
      </c>
      <c r="I3902" s="183" t="s">
        <v>1023</v>
      </c>
      <c r="J3902" s="183" t="s">
        <v>12066</v>
      </c>
      <c r="K3902">
        <v>0</v>
      </c>
      <c r="L3902" s="501">
        <v>1704</v>
      </c>
    </row>
    <row r="3903" spans="1:12">
      <c r="A3903" s="183" t="s">
        <v>3082</v>
      </c>
      <c r="B3903" s="183" t="s">
        <v>3083</v>
      </c>
      <c r="C3903">
        <v>8800143693242</v>
      </c>
      <c r="D3903" s="501">
        <v>2122</v>
      </c>
      <c r="E3903">
        <v>0</v>
      </c>
      <c r="F3903">
        <v>0</v>
      </c>
      <c r="G3903">
        <v>0</v>
      </c>
      <c r="H3903" s="501">
        <v>2122</v>
      </c>
      <c r="I3903" s="183" t="s">
        <v>1023</v>
      </c>
      <c r="J3903" s="183" t="s">
        <v>12063</v>
      </c>
      <c r="K3903">
        <v>0</v>
      </c>
      <c r="L3903" s="501">
        <v>2122</v>
      </c>
    </row>
    <row r="3904" spans="1:12">
      <c r="A3904" s="183" t="s">
        <v>3084</v>
      </c>
      <c r="B3904" s="183" t="s">
        <v>3085</v>
      </c>
      <c r="C3904">
        <v>8800143693280</v>
      </c>
      <c r="D3904" s="501">
        <v>2058</v>
      </c>
      <c r="E3904">
        <v>0</v>
      </c>
      <c r="F3904">
        <v>0</v>
      </c>
      <c r="G3904">
        <v>0</v>
      </c>
      <c r="H3904" s="501">
        <v>2058</v>
      </c>
      <c r="I3904" s="183" t="s">
        <v>1023</v>
      </c>
      <c r="J3904" s="183" t="s">
        <v>12063</v>
      </c>
      <c r="K3904">
        <v>0</v>
      </c>
      <c r="L3904" s="501">
        <v>2058</v>
      </c>
    </row>
    <row r="3905" spans="1:12">
      <c r="A3905" s="183" t="s">
        <v>672</v>
      </c>
      <c r="B3905" s="183" t="s">
        <v>1112</v>
      </c>
      <c r="C3905">
        <v>8800143693310</v>
      </c>
      <c r="D3905" s="501">
        <v>2814</v>
      </c>
      <c r="E3905">
        <v>0</v>
      </c>
      <c r="F3905">
        <v>0</v>
      </c>
      <c r="G3905">
        <v>0</v>
      </c>
      <c r="H3905" s="501">
        <v>2814</v>
      </c>
      <c r="I3905" s="183" t="s">
        <v>1023</v>
      </c>
      <c r="J3905" s="183" t="s">
        <v>12048</v>
      </c>
      <c r="K3905">
        <v>0</v>
      </c>
      <c r="L3905" s="501">
        <v>2814</v>
      </c>
    </row>
    <row r="3906" spans="1:12">
      <c r="A3906" s="183" t="s">
        <v>674</v>
      </c>
      <c r="B3906" s="183" t="s">
        <v>1116</v>
      </c>
      <c r="C3906">
        <v>8800143693341</v>
      </c>
      <c r="D3906" s="501">
        <v>2935</v>
      </c>
      <c r="E3906">
        <v>0</v>
      </c>
      <c r="F3906">
        <v>0</v>
      </c>
      <c r="G3906">
        <v>0</v>
      </c>
      <c r="H3906" s="501">
        <v>2935</v>
      </c>
      <c r="I3906" s="183" t="s">
        <v>1023</v>
      </c>
      <c r="J3906" s="183" t="s">
        <v>12048</v>
      </c>
      <c r="K3906">
        <v>0</v>
      </c>
      <c r="L3906" s="501">
        <v>2935</v>
      </c>
    </row>
    <row r="3907" spans="1:12">
      <c r="A3907" s="183" t="s">
        <v>3456</v>
      </c>
      <c r="B3907" s="183" t="s">
        <v>3451</v>
      </c>
      <c r="C3907">
        <v>8809986728371</v>
      </c>
      <c r="D3907">
        <v>613</v>
      </c>
      <c r="E3907">
        <v>0</v>
      </c>
      <c r="F3907">
        <v>0</v>
      </c>
      <c r="G3907">
        <v>0</v>
      </c>
      <c r="H3907">
        <v>613</v>
      </c>
      <c r="I3907" s="183" t="s">
        <v>3443</v>
      </c>
      <c r="J3907" s="183" t="s">
        <v>12053</v>
      </c>
      <c r="K3907">
        <v>0</v>
      </c>
      <c r="L3907">
        <v>613</v>
      </c>
    </row>
    <row r="3908" spans="1:12">
      <c r="A3908" s="183" t="s">
        <v>3463</v>
      </c>
      <c r="B3908" s="183" t="s">
        <v>3449</v>
      </c>
      <c r="C3908">
        <v>8809986728432</v>
      </c>
      <c r="D3908">
        <v>468</v>
      </c>
      <c r="E3908">
        <v>0</v>
      </c>
      <c r="F3908">
        <v>0</v>
      </c>
      <c r="G3908">
        <v>0</v>
      </c>
      <c r="H3908">
        <v>468</v>
      </c>
      <c r="I3908" s="183" t="s">
        <v>3443</v>
      </c>
      <c r="J3908" s="183" t="s">
        <v>12094</v>
      </c>
      <c r="K3908">
        <v>0</v>
      </c>
      <c r="L3908">
        <v>468</v>
      </c>
    </row>
    <row r="3909" spans="1:12">
      <c r="A3909" s="183" t="s">
        <v>3461</v>
      </c>
      <c r="B3909" s="183" t="s">
        <v>3462</v>
      </c>
      <c r="C3909">
        <v>8809986728463</v>
      </c>
      <c r="D3909">
        <v>109</v>
      </c>
      <c r="E3909">
        <v>0</v>
      </c>
      <c r="F3909">
        <v>0</v>
      </c>
      <c r="G3909">
        <v>0</v>
      </c>
      <c r="H3909">
        <v>109</v>
      </c>
      <c r="I3909" s="183" t="s">
        <v>3443</v>
      </c>
      <c r="J3909" s="183" t="s">
        <v>12092</v>
      </c>
      <c r="K3909">
        <v>0</v>
      </c>
      <c r="L3909">
        <v>109</v>
      </c>
    </row>
    <row r="3910" spans="1:12">
      <c r="A3910" s="183" t="s">
        <v>3918</v>
      </c>
      <c r="B3910" s="183" t="s">
        <v>3877</v>
      </c>
      <c r="C3910">
        <v>8809986728623</v>
      </c>
      <c r="D3910">
        <v>514</v>
      </c>
      <c r="E3910">
        <v>0</v>
      </c>
      <c r="F3910">
        <v>0</v>
      </c>
      <c r="G3910">
        <v>0</v>
      </c>
      <c r="H3910">
        <v>514</v>
      </c>
      <c r="I3910" s="183" t="s">
        <v>3878</v>
      </c>
      <c r="J3910" s="183" t="s">
        <v>12053</v>
      </c>
      <c r="K3910">
        <v>0</v>
      </c>
      <c r="L3910">
        <v>514</v>
      </c>
    </row>
    <row r="3911" spans="1:12">
      <c r="A3911" s="183" t="s">
        <v>3892</v>
      </c>
      <c r="B3911" s="183" t="s">
        <v>3889</v>
      </c>
      <c r="C3911">
        <v>8809986728722</v>
      </c>
      <c r="D3911">
        <v>298</v>
      </c>
      <c r="E3911">
        <v>0</v>
      </c>
      <c r="F3911">
        <v>0</v>
      </c>
      <c r="G3911">
        <v>0</v>
      </c>
      <c r="H3911">
        <v>298</v>
      </c>
      <c r="I3911" s="183" t="s">
        <v>3878</v>
      </c>
      <c r="J3911" s="183" t="s">
        <v>12067</v>
      </c>
      <c r="K3911">
        <v>0</v>
      </c>
      <c r="L3911">
        <v>298</v>
      </c>
    </row>
    <row r="3912" spans="1:12">
      <c r="A3912" s="183" t="s">
        <v>3949</v>
      </c>
      <c r="B3912" s="183" t="s">
        <v>3904</v>
      </c>
      <c r="C3912">
        <v>8809986728852</v>
      </c>
      <c r="D3912">
        <v>164</v>
      </c>
      <c r="E3912">
        <v>0</v>
      </c>
      <c r="F3912">
        <v>0</v>
      </c>
      <c r="G3912">
        <v>0</v>
      </c>
      <c r="H3912">
        <v>164</v>
      </c>
      <c r="I3912" s="183" t="s">
        <v>3878</v>
      </c>
      <c r="J3912" s="183" t="s">
        <v>12093</v>
      </c>
      <c r="K3912">
        <v>0</v>
      </c>
      <c r="L3912">
        <v>164</v>
      </c>
    </row>
    <row r="3913" spans="1:12">
      <c r="A3913" s="183" t="s">
        <v>3945</v>
      </c>
      <c r="B3913" s="183" t="s">
        <v>3912</v>
      </c>
      <c r="C3913">
        <v>8809986728937</v>
      </c>
      <c r="D3913">
        <v>52</v>
      </c>
      <c r="E3913">
        <v>0</v>
      </c>
      <c r="F3913">
        <v>0</v>
      </c>
      <c r="G3913">
        <v>0</v>
      </c>
      <c r="H3913">
        <v>52</v>
      </c>
      <c r="I3913" s="183" t="s">
        <v>3878</v>
      </c>
      <c r="J3913" s="183" t="s">
        <v>12091</v>
      </c>
      <c r="K3913">
        <v>0</v>
      </c>
      <c r="L3913">
        <v>52</v>
      </c>
    </row>
    <row r="3914" spans="1:12">
      <c r="A3914" s="183" t="s">
        <v>3679</v>
      </c>
      <c r="B3914" s="183" t="s">
        <v>3576</v>
      </c>
      <c r="C3914">
        <v>8800245474169</v>
      </c>
      <c r="D3914">
        <v>471</v>
      </c>
      <c r="E3914">
        <v>0</v>
      </c>
      <c r="F3914">
        <v>0</v>
      </c>
      <c r="G3914">
        <v>0</v>
      </c>
      <c r="H3914">
        <v>471</v>
      </c>
      <c r="I3914" s="183" t="s">
        <v>3577</v>
      </c>
      <c r="J3914" s="183" t="s">
        <v>12067</v>
      </c>
      <c r="K3914">
        <v>0</v>
      </c>
      <c r="L3914">
        <v>471</v>
      </c>
    </row>
    <row r="3915" spans="1:12">
      <c r="A3915" s="183" t="s">
        <v>3676</v>
      </c>
      <c r="B3915" s="183" t="s">
        <v>3576</v>
      </c>
      <c r="C3915">
        <v>8800245474404</v>
      </c>
      <c r="D3915" s="501">
        <v>1561</v>
      </c>
      <c r="E3915">
        <v>0</v>
      </c>
      <c r="F3915">
        <v>0</v>
      </c>
      <c r="G3915">
        <v>0</v>
      </c>
      <c r="H3915" s="501">
        <v>1561</v>
      </c>
      <c r="I3915" s="183" t="s">
        <v>3577</v>
      </c>
      <c r="J3915" s="183" t="s">
        <v>12053</v>
      </c>
      <c r="K3915">
        <v>0</v>
      </c>
      <c r="L3915" s="501">
        <v>1561</v>
      </c>
    </row>
    <row r="3916" spans="1:12">
      <c r="A3916" s="183" t="s">
        <v>3671</v>
      </c>
      <c r="B3916" s="183" t="s">
        <v>3576</v>
      </c>
      <c r="C3916">
        <v>8800245474411</v>
      </c>
      <c r="D3916" s="501">
        <v>2395</v>
      </c>
      <c r="E3916">
        <v>0</v>
      </c>
      <c r="F3916">
        <v>0</v>
      </c>
      <c r="G3916">
        <v>0</v>
      </c>
      <c r="H3916" s="501">
        <v>2395</v>
      </c>
      <c r="I3916" s="183" t="s">
        <v>3577</v>
      </c>
      <c r="J3916" s="183" t="s">
        <v>12059</v>
      </c>
      <c r="K3916">
        <v>0</v>
      </c>
      <c r="L3916" s="501">
        <v>2395</v>
      </c>
    </row>
    <row r="3917" spans="1:12">
      <c r="A3917" s="183" t="s">
        <v>3814</v>
      </c>
      <c r="B3917" s="183" t="s">
        <v>3576</v>
      </c>
      <c r="C3917">
        <v>8800245474763</v>
      </c>
      <c r="D3917" s="501">
        <v>1033</v>
      </c>
      <c r="E3917">
        <v>0</v>
      </c>
      <c r="F3917">
        <v>0</v>
      </c>
      <c r="G3917">
        <v>0</v>
      </c>
      <c r="H3917" s="501">
        <v>1033</v>
      </c>
      <c r="I3917" s="183" t="s">
        <v>3577</v>
      </c>
      <c r="J3917" s="183" t="s">
        <v>12050</v>
      </c>
      <c r="K3917">
        <v>0</v>
      </c>
      <c r="L3917" s="501">
        <v>1033</v>
      </c>
    </row>
    <row r="3918" spans="1:12">
      <c r="A3918" s="183" t="s">
        <v>3669</v>
      </c>
      <c r="B3918" s="183" t="s">
        <v>3576</v>
      </c>
      <c r="C3918">
        <v>8800245474770</v>
      </c>
      <c r="D3918">
        <v>587</v>
      </c>
      <c r="E3918">
        <v>0</v>
      </c>
      <c r="F3918">
        <v>0</v>
      </c>
      <c r="G3918">
        <v>0</v>
      </c>
      <c r="H3918">
        <v>587</v>
      </c>
      <c r="I3918" s="183" t="s">
        <v>3577</v>
      </c>
      <c r="J3918" s="183" t="s">
        <v>12091</v>
      </c>
      <c r="K3918">
        <v>0</v>
      </c>
      <c r="L3918">
        <v>587</v>
      </c>
    </row>
    <row r="3919" spans="1:12">
      <c r="A3919" s="183" t="s">
        <v>3677</v>
      </c>
      <c r="B3919" s="183" t="s">
        <v>3574</v>
      </c>
      <c r="C3919">
        <v>8800245475005</v>
      </c>
      <c r="D3919">
        <v>682</v>
      </c>
      <c r="E3919">
        <v>0</v>
      </c>
      <c r="F3919">
        <v>0</v>
      </c>
      <c r="G3919">
        <v>0</v>
      </c>
      <c r="H3919">
        <v>682</v>
      </c>
      <c r="I3919" s="183" t="s">
        <v>3575</v>
      </c>
      <c r="J3919" s="183" t="s">
        <v>12093</v>
      </c>
      <c r="K3919">
        <v>0</v>
      </c>
      <c r="L3919">
        <v>682</v>
      </c>
    </row>
    <row r="3920" spans="1:12">
      <c r="A3920" s="183" t="s">
        <v>3668</v>
      </c>
      <c r="B3920" s="183" t="s">
        <v>3574</v>
      </c>
      <c r="C3920">
        <v>8800245475029</v>
      </c>
      <c r="D3920">
        <v>382</v>
      </c>
      <c r="E3920">
        <v>0</v>
      </c>
      <c r="F3920">
        <v>0</v>
      </c>
      <c r="G3920">
        <v>0</v>
      </c>
      <c r="H3920">
        <v>382</v>
      </c>
      <c r="I3920" s="183" t="s">
        <v>3575</v>
      </c>
      <c r="J3920" s="183" t="s">
        <v>12093</v>
      </c>
      <c r="K3920">
        <v>0</v>
      </c>
      <c r="L3920">
        <v>382</v>
      </c>
    </row>
    <row r="3921" spans="1:12">
      <c r="A3921" s="183" t="s">
        <v>3674</v>
      </c>
      <c r="B3921" s="183" t="s">
        <v>3574</v>
      </c>
      <c r="C3921">
        <v>8800245475098</v>
      </c>
      <c r="D3921">
        <v>940</v>
      </c>
      <c r="E3921">
        <v>0</v>
      </c>
      <c r="F3921">
        <v>0</v>
      </c>
      <c r="G3921">
        <v>0</v>
      </c>
      <c r="H3921">
        <v>940</v>
      </c>
      <c r="I3921" s="183" t="s">
        <v>3575</v>
      </c>
      <c r="J3921" s="183" t="s">
        <v>12053</v>
      </c>
      <c r="K3921">
        <v>0</v>
      </c>
      <c r="L3921">
        <v>940</v>
      </c>
    </row>
    <row r="3922" spans="1:12">
      <c r="A3922" s="183" t="s">
        <v>3655</v>
      </c>
      <c r="B3922" s="183" t="s">
        <v>3574</v>
      </c>
      <c r="C3922">
        <v>8800245475111</v>
      </c>
      <c r="D3922">
        <v>207</v>
      </c>
      <c r="E3922">
        <v>0</v>
      </c>
      <c r="F3922">
        <v>0</v>
      </c>
      <c r="G3922">
        <v>0</v>
      </c>
      <c r="H3922">
        <v>207</v>
      </c>
      <c r="I3922" s="183" t="s">
        <v>3575</v>
      </c>
      <c r="J3922" s="183" t="s">
        <v>12081</v>
      </c>
      <c r="K3922">
        <v>0</v>
      </c>
      <c r="L3922">
        <v>207</v>
      </c>
    </row>
    <row r="3923" spans="1:12">
      <c r="A3923" s="183" t="s">
        <v>3670</v>
      </c>
      <c r="B3923" s="183" t="s">
        <v>3574</v>
      </c>
      <c r="C3923">
        <v>8800245475357</v>
      </c>
      <c r="D3923">
        <v>388</v>
      </c>
      <c r="E3923">
        <v>0</v>
      </c>
      <c r="F3923">
        <v>0</v>
      </c>
      <c r="G3923">
        <v>0</v>
      </c>
      <c r="H3923">
        <v>388</v>
      </c>
      <c r="I3923" s="183" t="s">
        <v>3575</v>
      </c>
      <c r="J3923" s="183" t="s">
        <v>12094</v>
      </c>
      <c r="K3923">
        <v>0</v>
      </c>
      <c r="L3923">
        <v>388</v>
      </c>
    </row>
    <row r="3924" spans="1:12">
      <c r="A3924" s="183" t="s">
        <v>3673</v>
      </c>
      <c r="B3924" s="183" t="s">
        <v>3574</v>
      </c>
      <c r="C3924">
        <v>8800245475425</v>
      </c>
      <c r="D3924">
        <v>229</v>
      </c>
      <c r="E3924">
        <v>0</v>
      </c>
      <c r="F3924">
        <v>0</v>
      </c>
      <c r="G3924">
        <v>0</v>
      </c>
      <c r="H3924">
        <v>229</v>
      </c>
      <c r="I3924" s="183" t="s">
        <v>3575</v>
      </c>
      <c r="J3924" s="183" t="s">
        <v>12067</v>
      </c>
      <c r="K3924">
        <v>0</v>
      </c>
      <c r="L3924">
        <v>229</v>
      </c>
    </row>
    <row r="3925" spans="1:12">
      <c r="A3925" s="183" t="s">
        <v>3675</v>
      </c>
      <c r="B3925" s="183" t="s">
        <v>3574</v>
      </c>
      <c r="C3925">
        <v>8800245475487</v>
      </c>
      <c r="D3925">
        <v>240</v>
      </c>
      <c r="E3925">
        <v>0</v>
      </c>
      <c r="F3925">
        <v>0</v>
      </c>
      <c r="G3925">
        <v>0</v>
      </c>
      <c r="H3925">
        <v>240</v>
      </c>
      <c r="I3925" s="183" t="s">
        <v>3575</v>
      </c>
      <c r="J3925" s="183" t="s">
        <v>12094</v>
      </c>
      <c r="K3925">
        <v>0</v>
      </c>
      <c r="L3925">
        <v>240</v>
      </c>
    </row>
    <row r="3926" spans="1:12">
      <c r="A3926" s="183" t="s">
        <v>3672</v>
      </c>
      <c r="B3926" s="183" t="s">
        <v>3574</v>
      </c>
      <c r="C3926">
        <v>8800245475494</v>
      </c>
      <c r="D3926">
        <v>308</v>
      </c>
      <c r="E3926">
        <v>0</v>
      </c>
      <c r="F3926">
        <v>0</v>
      </c>
      <c r="G3926">
        <v>0</v>
      </c>
      <c r="H3926">
        <v>308</v>
      </c>
      <c r="I3926" s="183" t="s">
        <v>3575</v>
      </c>
      <c r="J3926" s="183" t="s">
        <v>12081</v>
      </c>
      <c r="K3926">
        <v>0</v>
      </c>
      <c r="L3926">
        <v>308</v>
      </c>
    </row>
    <row r="3927" spans="1:12">
      <c r="A3927" s="183" t="s">
        <v>2815</v>
      </c>
      <c r="B3927" s="183" t="s">
        <v>1330</v>
      </c>
      <c r="C3927">
        <v>15550211</v>
      </c>
      <c r="D3927">
        <v>78</v>
      </c>
      <c r="E3927">
        <v>0</v>
      </c>
      <c r="F3927">
        <v>0</v>
      </c>
      <c r="G3927">
        <v>0</v>
      </c>
      <c r="H3927">
        <v>78</v>
      </c>
      <c r="I3927" s="183" t="s">
        <v>1331</v>
      </c>
      <c r="J3927" s="183" t="s">
        <v>12093</v>
      </c>
      <c r="K3927">
        <v>0</v>
      </c>
      <c r="L3927">
        <v>78</v>
      </c>
    </row>
    <row r="3928" spans="1:12">
      <c r="A3928" s="183" t="s">
        <v>2853</v>
      </c>
      <c r="B3928" s="183" t="s">
        <v>1330</v>
      </c>
      <c r="C3928">
        <v>15550215</v>
      </c>
      <c r="D3928">
        <v>45</v>
      </c>
      <c r="E3928">
        <v>0</v>
      </c>
      <c r="F3928">
        <v>0</v>
      </c>
      <c r="G3928">
        <v>0</v>
      </c>
      <c r="H3928">
        <v>45</v>
      </c>
      <c r="I3928" s="183" t="s">
        <v>1331</v>
      </c>
      <c r="J3928" s="183" t="s">
        <v>12067</v>
      </c>
      <c r="K3928">
        <v>0</v>
      </c>
      <c r="L3928">
        <v>45</v>
      </c>
    </row>
    <row r="3929" spans="1:12">
      <c r="A3929" s="183" t="s">
        <v>9097</v>
      </c>
      <c r="B3929" s="183" t="s">
        <v>9008</v>
      </c>
      <c r="C3929">
        <v>8800358459282</v>
      </c>
      <c r="D3929">
        <v>130</v>
      </c>
      <c r="E3929">
        <v>0</v>
      </c>
      <c r="F3929">
        <v>0</v>
      </c>
      <c r="G3929">
        <v>0</v>
      </c>
      <c r="H3929">
        <v>130</v>
      </c>
      <c r="I3929" s="183" t="s">
        <v>9009</v>
      </c>
      <c r="J3929" s="183" t="s">
        <v>12055</v>
      </c>
      <c r="K3929">
        <v>0</v>
      </c>
      <c r="L3929">
        <v>130</v>
      </c>
    </row>
    <row r="3930" spans="1:12">
      <c r="A3930" s="183" t="s">
        <v>9098</v>
      </c>
      <c r="B3930" s="183" t="s">
        <v>9008</v>
      </c>
      <c r="C3930">
        <v>8800358459312</v>
      </c>
      <c r="D3930">
        <v>130</v>
      </c>
      <c r="E3930">
        <v>0</v>
      </c>
      <c r="F3930">
        <v>0</v>
      </c>
      <c r="G3930">
        <v>0</v>
      </c>
      <c r="H3930">
        <v>130</v>
      </c>
      <c r="I3930" s="183" t="s">
        <v>9009</v>
      </c>
      <c r="J3930" s="183" t="s">
        <v>12095</v>
      </c>
      <c r="K3930">
        <v>0</v>
      </c>
      <c r="L3930">
        <v>130</v>
      </c>
    </row>
    <row r="3931" spans="1:12">
      <c r="A3931" s="183" t="s">
        <v>9099</v>
      </c>
      <c r="B3931" s="183" t="s">
        <v>9008</v>
      </c>
      <c r="C3931">
        <v>8800358459329</v>
      </c>
      <c r="D3931">
        <v>130</v>
      </c>
      <c r="E3931">
        <v>0</v>
      </c>
      <c r="F3931">
        <v>0</v>
      </c>
      <c r="G3931">
        <v>0</v>
      </c>
      <c r="H3931">
        <v>130</v>
      </c>
      <c r="I3931" s="183" t="s">
        <v>9009</v>
      </c>
      <c r="J3931" s="183" t="s">
        <v>12055</v>
      </c>
      <c r="K3931">
        <v>0</v>
      </c>
      <c r="L3931">
        <v>130</v>
      </c>
    </row>
    <row r="3932" spans="1:12">
      <c r="A3932" s="183" t="s">
        <v>9100</v>
      </c>
      <c r="B3932" s="183" t="s">
        <v>9013</v>
      </c>
      <c r="C3932">
        <v>8800358459541</v>
      </c>
      <c r="D3932">
        <v>130</v>
      </c>
      <c r="E3932">
        <v>0</v>
      </c>
      <c r="F3932">
        <v>0</v>
      </c>
      <c r="G3932">
        <v>0</v>
      </c>
      <c r="H3932">
        <v>130</v>
      </c>
      <c r="I3932" s="183" t="s">
        <v>9014</v>
      </c>
      <c r="J3932" s="183" t="s">
        <v>12055</v>
      </c>
      <c r="K3932">
        <v>0</v>
      </c>
      <c r="L3932">
        <v>130</v>
      </c>
    </row>
    <row r="3933" spans="1:12">
      <c r="A3933" s="183" t="s">
        <v>12027</v>
      </c>
      <c r="B3933" s="183" t="s">
        <v>9013</v>
      </c>
      <c r="C3933">
        <v>8800358459572</v>
      </c>
      <c r="D3933">
        <v>130</v>
      </c>
      <c r="E3933">
        <v>0</v>
      </c>
      <c r="F3933">
        <v>0</v>
      </c>
      <c r="G3933">
        <v>0</v>
      </c>
      <c r="H3933">
        <v>130</v>
      </c>
      <c r="I3933" s="183" t="s">
        <v>9014</v>
      </c>
      <c r="J3933" s="183" t="s">
        <v>12048</v>
      </c>
      <c r="K3933">
        <v>0</v>
      </c>
      <c r="L3933">
        <v>130</v>
      </c>
    </row>
    <row r="3934" spans="1:12">
      <c r="A3934" s="183" t="s">
        <v>9101</v>
      </c>
      <c r="B3934" s="183" t="s">
        <v>9013</v>
      </c>
      <c r="C3934">
        <v>8800358459640</v>
      </c>
      <c r="D3934">
        <v>130</v>
      </c>
      <c r="E3934">
        <v>0</v>
      </c>
      <c r="F3934">
        <v>0</v>
      </c>
      <c r="G3934">
        <v>0</v>
      </c>
      <c r="H3934">
        <v>130</v>
      </c>
      <c r="I3934" s="183" t="s">
        <v>9014</v>
      </c>
      <c r="J3934" s="183" t="s">
        <v>12048</v>
      </c>
      <c r="K3934">
        <v>0</v>
      </c>
      <c r="L3934">
        <v>130</v>
      </c>
    </row>
    <row r="3935" spans="1:12">
      <c r="A3935" s="183" t="s">
        <v>8775</v>
      </c>
      <c r="B3935" s="183" t="s">
        <v>8776</v>
      </c>
      <c r="C3935">
        <v>8800358459732</v>
      </c>
      <c r="D3935">
        <v>130</v>
      </c>
      <c r="E3935">
        <v>0</v>
      </c>
      <c r="F3935">
        <v>0</v>
      </c>
      <c r="G3935">
        <v>0</v>
      </c>
      <c r="H3935">
        <v>130</v>
      </c>
      <c r="I3935" s="183" t="s">
        <v>8777</v>
      </c>
      <c r="J3935" s="183" t="s">
        <v>12066</v>
      </c>
      <c r="K3935">
        <v>0</v>
      </c>
      <c r="L3935">
        <v>130</v>
      </c>
    </row>
    <row r="3936" spans="1:12">
      <c r="A3936" s="183" t="s">
        <v>8778</v>
      </c>
      <c r="B3936" s="183" t="s">
        <v>8776</v>
      </c>
      <c r="C3936">
        <v>8800358459770</v>
      </c>
      <c r="D3936">
        <v>130</v>
      </c>
      <c r="E3936">
        <v>0</v>
      </c>
      <c r="F3936">
        <v>0</v>
      </c>
      <c r="G3936">
        <v>0</v>
      </c>
      <c r="H3936">
        <v>130</v>
      </c>
      <c r="I3936" s="183" t="s">
        <v>8777</v>
      </c>
      <c r="J3936" s="183" t="s">
        <v>12063</v>
      </c>
      <c r="K3936">
        <v>0</v>
      </c>
      <c r="L3936">
        <v>130</v>
      </c>
    </row>
    <row r="3937" spans="1:12">
      <c r="A3937" s="183" t="s">
        <v>8779</v>
      </c>
      <c r="B3937" s="183" t="s">
        <v>8776</v>
      </c>
      <c r="C3937">
        <v>8800358459831</v>
      </c>
      <c r="D3937">
        <v>130</v>
      </c>
      <c r="E3937">
        <v>0</v>
      </c>
      <c r="F3937">
        <v>0</v>
      </c>
      <c r="G3937">
        <v>0</v>
      </c>
      <c r="H3937">
        <v>130</v>
      </c>
      <c r="I3937" s="183" t="s">
        <v>8777</v>
      </c>
      <c r="J3937" s="183" t="s">
        <v>12095</v>
      </c>
      <c r="K3937">
        <v>0</v>
      </c>
      <c r="L3937">
        <v>130</v>
      </c>
    </row>
    <row r="3938" spans="1:12">
      <c r="A3938" s="183" t="s">
        <v>8780</v>
      </c>
      <c r="B3938" s="183" t="s">
        <v>8776</v>
      </c>
      <c r="C3938">
        <v>8800358459886</v>
      </c>
      <c r="D3938">
        <v>130</v>
      </c>
      <c r="E3938">
        <v>0</v>
      </c>
      <c r="F3938">
        <v>0</v>
      </c>
      <c r="G3938">
        <v>0</v>
      </c>
      <c r="H3938">
        <v>130</v>
      </c>
      <c r="I3938" s="183" t="s">
        <v>8777</v>
      </c>
      <c r="J3938" s="183" t="s">
        <v>12061</v>
      </c>
      <c r="K3938">
        <v>0</v>
      </c>
      <c r="L3938">
        <v>130</v>
      </c>
    </row>
    <row r="3939" spans="1:12">
      <c r="A3939" s="183" t="s">
        <v>8781</v>
      </c>
      <c r="B3939" s="183" t="s">
        <v>8776</v>
      </c>
      <c r="C3939">
        <v>8800358459893</v>
      </c>
      <c r="D3939">
        <v>130</v>
      </c>
      <c r="E3939">
        <v>0</v>
      </c>
      <c r="F3939">
        <v>0</v>
      </c>
      <c r="G3939">
        <v>0</v>
      </c>
      <c r="H3939">
        <v>130</v>
      </c>
      <c r="I3939" s="183" t="s">
        <v>8777</v>
      </c>
      <c r="J3939" s="183" t="s">
        <v>12087</v>
      </c>
      <c r="K3939">
        <v>0</v>
      </c>
      <c r="L3939">
        <v>130</v>
      </c>
    </row>
    <row r="3940" spans="1:12">
      <c r="A3940" s="183" t="s">
        <v>8932</v>
      </c>
      <c r="B3940" s="183" t="s">
        <v>8927</v>
      </c>
      <c r="C3940">
        <v>8800358459954</v>
      </c>
      <c r="D3940">
        <v>245</v>
      </c>
      <c r="E3940">
        <v>0</v>
      </c>
      <c r="F3940">
        <v>0</v>
      </c>
      <c r="G3940">
        <v>0</v>
      </c>
      <c r="H3940">
        <v>245</v>
      </c>
      <c r="I3940" s="183" t="s">
        <v>8928</v>
      </c>
      <c r="J3940" s="183" t="s">
        <v>12050</v>
      </c>
      <c r="K3940">
        <v>0</v>
      </c>
      <c r="L3940">
        <v>245</v>
      </c>
    </row>
    <row r="3941" spans="1:12">
      <c r="A3941" s="183" t="s">
        <v>8933</v>
      </c>
      <c r="B3941" s="183" t="s">
        <v>8927</v>
      </c>
      <c r="C3941">
        <v>8800358460028</v>
      </c>
      <c r="D3941">
        <v>135</v>
      </c>
      <c r="E3941">
        <v>0</v>
      </c>
      <c r="F3941">
        <v>0</v>
      </c>
      <c r="G3941">
        <v>0</v>
      </c>
      <c r="H3941">
        <v>135</v>
      </c>
      <c r="I3941" s="183" t="s">
        <v>8928</v>
      </c>
      <c r="J3941" s="183" t="s">
        <v>12063</v>
      </c>
      <c r="K3941">
        <v>0</v>
      </c>
      <c r="L3941">
        <v>135</v>
      </c>
    </row>
    <row r="3942" spans="1:12">
      <c r="A3942" s="183" t="s">
        <v>8934</v>
      </c>
      <c r="B3942" s="183" t="s">
        <v>8927</v>
      </c>
      <c r="C3942">
        <v>8800358460158</v>
      </c>
      <c r="D3942">
        <v>45</v>
      </c>
      <c r="E3942">
        <v>0</v>
      </c>
      <c r="F3942">
        <v>0</v>
      </c>
      <c r="G3942">
        <v>0</v>
      </c>
      <c r="H3942">
        <v>45</v>
      </c>
      <c r="I3942" s="183" t="s">
        <v>8928</v>
      </c>
      <c r="J3942" s="183" t="s">
        <v>12066</v>
      </c>
      <c r="K3942">
        <v>0</v>
      </c>
      <c r="L3942">
        <v>45</v>
      </c>
    </row>
    <row r="3943" spans="1:12">
      <c r="A3943" s="183" t="s">
        <v>8703</v>
      </c>
      <c r="B3943" s="183" t="s">
        <v>8688</v>
      </c>
      <c r="C3943">
        <v>8800358460233</v>
      </c>
      <c r="D3943">
        <v>195</v>
      </c>
      <c r="E3943">
        <v>0</v>
      </c>
      <c r="F3943">
        <v>0</v>
      </c>
      <c r="G3943">
        <v>0</v>
      </c>
      <c r="H3943">
        <v>195</v>
      </c>
      <c r="I3943" s="183" t="s">
        <v>8689</v>
      </c>
      <c r="J3943" s="183" t="s">
        <v>12066</v>
      </c>
      <c r="K3943">
        <v>0</v>
      </c>
      <c r="L3943">
        <v>195</v>
      </c>
    </row>
    <row r="3944" spans="1:12">
      <c r="A3944" s="183" t="s">
        <v>8704</v>
      </c>
      <c r="B3944" s="183" t="s">
        <v>8688</v>
      </c>
      <c r="C3944">
        <v>8800358460240</v>
      </c>
      <c r="D3944">
        <v>195</v>
      </c>
      <c r="E3944">
        <v>0</v>
      </c>
      <c r="F3944">
        <v>0</v>
      </c>
      <c r="G3944">
        <v>0</v>
      </c>
      <c r="H3944">
        <v>195</v>
      </c>
      <c r="I3944" s="183" t="s">
        <v>8689</v>
      </c>
      <c r="J3944" s="183" t="s">
        <v>12095</v>
      </c>
      <c r="K3944">
        <v>0</v>
      </c>
      <c r="L3944">
        <v>195</v>
      </c>
    </row>
    <row r="3945" spans="1:12">
      <c r="A3945" s="183" t="s">
        <v>8705</v>
      </c>
      <c r="B3945" s="183" t="s">
        <v>8688</v>
      </c>
      <c r="C3945">
        <v>8800358460301</v>
      </c>
      <c r="D3945">
        <v>135</v>
      </c>
      <c r="E3945">
        <v>0</v>
      </c>
      <c r="F3945">
        <v>0</v>
      </c>
      <c r="G3945">
        <v>0</v>
      </c>
      <c r="H3945">
        <v>135</v>
      </c>
      <c r="I3945" s="183" t="s">
        <v>8689</v>
      </c>
      <c r="J3945" s="183" t="s">
        <v>12066</v>
      </c>
      <c r="K3945">
        <v>0</v>
      </c>
      <c r="L3945">
        <v>135</v>
      </c>
    </row>
    <row r="3946" spans="1:12">
      <c r="A3946" s="183" t="s">
        <v>8706</v>
      </c>
      <c r="B3946" s="183" t="s">
        <v>8692</v>
      </c>
      <c r="C3946">
        <v>8800358460509</v>
      </c>
      <c r="D3946">
        <v>195</v>
      </c>
      <c r="E3946">
        <v>0</v>
      </c>
      <c r="F3946">
        <v>0</v>
      </c>
      <c r="G3946">
        <v>0</v>
      </c>
      <c r="H3946">
        <v>195</v>
      </c>
      <c r="I3946" s="183" t="s">
        <v>8693</v>
      </c>
      <c r="J3946" s="183" t="s">
        <v>12095</v>
      </c>
      <c r="K3946">
        <v>0</v>
      </c>
      <c r="L3946">
        <v>195</v>
      </c>
    </row>
    <row r="3947" spans="1:12">
      <c r="A3947" s="183" t="s">
        <v>8707</v>
      </c>
      <c r="B3947" s="183" t="s">
        <v>8692</v>
      </c>
      <c r="C3947">
        <v>8800358460516</v>
      </c>
      <c r="D3947">
        <v>165</v>
      </c>
      <c r="E3947">
        <v>0</v>
      </c>
      <c r="F3947">
        <v>0</v>
      </c>
      <c r="G3947">
        <v>0</v>
      </c>
      <c r="H3947">
        <v>165</v>
      </c>
      <c r="I3947" s="183" t="s">
        <v>8693</v>
      </c>
      <c r="J3947" s="183" t="s">
        <v>12057</v>
      </c>
      <c r="K3947">
        <v>0</v>
      </c>
      <c r="L3947">
        <v>165</v>
      </c>
    </row>
    <row r="3948" spans="1:12">
      <c r="A3948" s="183" t="s">
        <v>8708</v>
      </c>
      <c r="B3948" s="183" t="s">
        <v>8692</v>
      </c>
      <c r="C3948">
        <v>8800358460639</v>
      </c>
      <c r="D3948">
        <v>45</v>
      </c>
      <c r="E3948">
        <v>0</v>
      </c>
      <c r="F3948">
        <v>0</v>
      </c>
      <c r="G3948">
        <v>0</v>
      </c>
      <c r="H3948">
        <v>45</v>
      </c>
      <c r="I3948" s="183" t="s">
        <v>8693</v>
      </c>
      <c r="J3948" s="183" t="s">
        <v>12050</v>
      </c>
      <c r="K3948">
        <v>0</v>
      </c>
      <c r="L3948">
        <v>45</v>
      </c>
    </row>
    <row r="3949" spans="1:12">
      <c r="A3949" s="183" t="s">
        <v>8737</v>
      </c>
      <c r="B3949" s="183" t="s">
        <v>8692</v>
      </c>
      <c r="C3949">
        <v>8800358460677</v>
      </c>
      <c r="D3949">
        <v>45</v>
      </c>
      <c r="E3949">
        <v>0</v>
      </c>
      <c r="F3949">
        <v>0</v>
      </c>
      <c r="G3949">
        <v>0</v>
      </c>
      <c r="H3949">
        <v>45</v>
      </c>
      <c r="I3949" s="183" t="s">
        <v>8693</v>
      </c>
      <c r="J3949" s="183" t="s">
        <v>12061</v>
      </c>
      <c r="K3949">
        <v>0</v>
      </c>
      <c r="L3949">
        <v>45</v>
      </c>
    </row>
    <row r="3950" spans="1:12">
      <c r="A3950" s="183" t="s">
        <v>8738</v>
      </c>
      <c r="B3950" s="183" t="s">
        <v>8698</v>
      </c>
      <c r="C3950">
        <v>8800358460851</v>
      </c>
      <c r="D3950">
        <v>135</v>
      </c>
      <c r="E3950">
        <v>0</v>
      </c>
      <c r="F3950">
        <v>0</v>
      </c>
      <c r="G3950">
        <v>0</v>
      </c>
      <c r="H3950">
        <v>135</v>
      </c>
      <c r="I3950" s="183" t="s">
        <v>8699</v>
      </c>
      <c r="J3950" s="183" t="s">
        <v>12066</v>
      </c>
      <c r="K3950">
        <v>0</v>
      </c>
      <c r="L3950">
        <v>135</v>
      </c>
    </row>
    <row r="3951" spans="1:12">
      <c r="A3951" s="183" t="s">
        <v>8739</v>
      </c>
      <c r="B3951" s="183" t="s">
        <v>8698</v>
      </c>
      <c r="C3951">
        <v>8800358460967</v>
      </c>
      <c r="D3951">
        <v>45</v>
      </c>
      <c r="E3951">
        <v>0</v>
      </c>
      <c r="F3951">
        <v>0</v>
      </c>
      <c r="G3951">
        <v>0</v>
      </c>
      <c r="H3951">
        <v>45</v>
      </c>
      <c r="I3951" s="183" t="s">
        <v>8699</v>
      </c>
      <c r="J3951" s="183" t="s">
        <v>12061</v>
      </c>
      <c r="K3951">
        <v>0</v>
      </c>
      <c r="L3951">
        <v>45</v>
      </c>
    </row>
    <row r="3952" spans="1:12">
      <c r="A3952" s="183" t="s">
        <v>8740</v>
      </c>
      <c r="B3952" s="183" t="s">
        <v>8698</v>
      </c>
      <c r="C3952">
        <v>8800358460998</v>
      </c>
      <c r="D3952">
        <v>15</v>
      </c>
      <c r="E3952">
        <v>0</v>
      </c>
      <c r="F3952">
        <v>0</v>
      </c>
      <c r="G3952">
        <v>0</v>
      </c>
      <c r="H3952">
        <v>15</v>
      </c>
      <c r="I3952" s="183" t="s">
        <v>8699</v>
      </c>
      <c r="J3952" s="183" t="s">
        <v>12057</v>
      </c>
      <c r="K3952">
        <v>0</v>
      </c>
      <c r="L3952">
        <v>15</v>
      </c>
    </row>
    <row r="3953" spans="1:12">
      <c r="A3953" s="183" t="s">
        <v>5447</v>
      </c>
      <c r="B3953" s="183" t="s">
        <v>5246</v>
      </c>
      <c r="C3953">
        <v>8800322946954</v>
      </c>
      <c r="D3953">
        <v>50</v>
      </c>
      <c r="E3953">
        <v>0</v>
      </c>
      <c r="F3953">
        <v>0</v>
      </c>
      <c r="G3953">
        <v>0</v>
      </c>
      <c r="H3953">
        <v>50</v>
      </c>
      <c r="I3953" s="183" t="s">
        <v>5247</v>
      </c>
      <c r="J3953" s="183" t="s">
        <v>12095</v>
      </c>
      <c r="K3953">
        <v>0</v>
      </c>
      <c r="L3953">
        <v>50</v>
      </c>
    </row>
    <row r="3954" spans="1:12">
      <c r="A3954" s="183" t="s">
        <v>5559</v>
      </c>
      <c r="B3954" s="183" t="s">
        <v>5246</v>
      </c>
      <c r="C3954">
        <v>8800322947951</v>
      </c>
      <c r="D3954">
        <v>50</v>
      </c>
      <c r="E3954">
        <v>0</v>
      </c>
      <c r="F3954">
        <v>0</v>
      </c>
      <c r="G3954">
        <v>0</v>
      </c>
      <c r="H3954">
        <v>50</v>
      </c>
      <c r="I3954" s="183" t="s">
        <v>5247</v>
      </c>
      <c r="J3954" s="183" t="s">
        <v>12095</v>
      </c>
      <c r="K3954">
        <v>0</v>
      </c>
      <c r="L3954">
        <v>50</v>
      </c>
    </row>
    <row r="3955" spans="1:12">
      <c r="A3955" s="183" t="s">
        <v>5448</v>
      </c>
      <c r="B3955" s="183" t="s">
        <v>5246</v>
      </c>
      <c r="C3955">
        <v>8800322950470</v>
      </c>
      <c r="D3955">
        <v>689</v>
      </c>
      <c r="E3955">
        <v>0</v>
      </c>
      <c r="F3955">
        <v>0</v>
      </c>
      <c r="G3955">
        <v>0</v>
      </c>
      <c r="H3955">
        <v>689</v>
      </c>
      <c r="I3955" s="183" t="s">
        <v>5247</v>
      </c>
      <c r="J3955" s="183" t="s">
        <v>12085</v>
      </c>
      <c r="K3955">
        <v>0</v>
      </c>
      <c r="L3955">
        <v>689</v>
      </c>
    </row>
    <row r="3956" spans="1:12">
      <c r="A3956" s="183" t="s">
        <v>5560</v>
      </c>
      <c r="B3956" s="183" t="s">
        <v>5246</v>
      </c>
      <c r="C3956">
        <v>8800322948460</v>
      </c>
      <c r="D3956">
        <v>50</v>
      </c>
      <c r="E3956">
        <v>0</v>
      </c>
      <c r="F3956">
        <v>0</v>
      </c>
      <c r="G3956">
        <v>0</v>
      </c>
      <c r="H3956">
        <v>50</v>
      </c>
      <c r="I3956" s="183" t="s">
        <v>5247</v>
      </c>
      <c r="J3956" s="183" t="s">
        <v>12048</v>
      </c>
      <c r="K3956">
        <v>0</v>
      </c>
      <c r="L3956">
        <v>50</v>
      </c>
    </row>
    <row r="3957" spans="1:12">
      <c r="A3957" s="183" t="s">
        <v>5561</v>
      </c>
      <c r="B3957" s="183" t="s">
        <v>5246</v>
      </c>
      <c r="C3957">
        <v>8800322949962</v>
      </c>
      <c r="D3957">
        <v>50</v>
      </c>
      <c r="E3957">
        <v>0</v>
      </c>
      <c r="F3957">
        <v>0</v>
      </c>
      <c r="G3957">
        <v>0</v>
      </c>
      <c r="H3957">
        <v>50</v>
      </c>
      <c r="I3957" s="183" t="s">
        <v>5247</v>
      </c>
      <c r="J3957" s="183" t="s">
        <v>12050</v>
      </c>
      <c r="K3957">
        <v>0</v>
      </c>
      <c r="L3957">
        <v>50</v>
      </c>
    </row>
    <row r="3958" spans="1:12">
      <c r="A3958" s="183" t="s">
        <v>5449</v>
      </c>
      <c r="B3958" s="183" t="s">
        <v>5246</v>
      </c>
      <c r="C3958">
        <v>8800322950722</v>
      </c>
      <c r="D3958">
        <v>529</v>
      </c>
      <c r="E3958">
        <v>0</v>
      </c>
      <c r="F3958">
        <v>0</v>
      </c>
      <c r="G3958">
        <v>0</v>
      </c>
      <c r="H3958">
        <v>529</v>
      </c>
      <c r="I3958" s="183" t="s">
        <v>5247</v>
      </c>
      <c r="J3958" s="183" t="s">
        <v>12087</v>
      </c>
      <c r="K3958">
        <v>0</v>
      </c>
      <c r="L3958">
        <v>529</v>
      </c>
    </row>
    <row r="3959" spans="1:12">
      <c r="A3959" s="183" t="s">
        <v>5806</v>
      </c>
      <c r="B3959" s="183" t="s">
        <v>5246</v>
      </c>
      <c r="C3959">
        <v>8800322948712</v>
      </c>
      <c r="D3959">
        <v>50</v>
      </c>
      <c r="E3959">
        <v>0</v>
      </c>
      <c r="F3959">
        <v>0</v>
      </c>
      <c r="G3959">
        <v>0</v>
      </c>
      <c r="H3959">
        <v>50</v>
      </c>
      <c r="I3959" s="183" t="s">
        <v>5247</v>
      </c>
      <c r="J3959" s="183" t="s">
        <v>12063</v>
      </c>
      <c r="K3959">
        <v>0</v>
      </c>
      <c r="L3959">
        <v>50</v>
      </c>
    </row>
    <row r="3960" spans="1:12">
      <c r="A3960" s="183" t="s">
        <v>5562</v>
      </c>
      <c r="B3960" s="183" t="s">
        <v>5246</v>
      </c>
      <c r="C3960">
        <v>8800322949221</v>
      </c>
      <c r="D3960">
        <v>50</v>
      </c>
      <c r="E3960">
        <v>0</v>
      </c>
      <c r="F3960">
        <v>0</v>
      </c>
      <c r="G3960">
        <v>0</v>
      </c>
      <c r="H3960">
        <v>50</v>
      </c>
      <c r="I3960" s="183" t="s">
        <v>5247</v>
      </c>
      <c r="J3960" s="183" t="s">
        <v>12085</v>
      </c>
      <c r="K3960">
        <v>0</v>
      </c>
      <c r="L3960">
        <v>50</v>
      </c>
    </row>
    <row r="3961" spans="1:12">
      <c r="A3961" s="183" t="s">
        <v>5563</v>
      </c>
      <c r="B3961" s="183" t="s">
        <v>5246</v>
      </c>
      <c r="C3961">
        <v>8800322950241</v>
      </c>
      <c r="D3961">
        <v>49</v>
      </c>
      <c r="E3961">
        <v>0</v>
      </c>
      <c r="F3961">
        <v>0</v>
      </c>
      <c r="G3961">
        <v>0</v>
      </c>
      <c r="H3961">
        <v>49</v>
      </c>
      <c r="I3961" s="183" t="s">
        <v>5247</v>
      </c>
      <c r="J3961" s="183" t="s">
        <v>12085</v>
      </c>
      <c r="K3961">
        <v>0</v>
      </c>
      <c r="L3961">
        <v>49</v>
      </c>
    </row>
    <row r="3962" spans="1:12">
      <c r="A3962" s="183" t="s">
        <v>5450</v>
      </c>
      <c r="B3962" s="183" t="s">
        <v>5246</v>
      </c>
      <c r="C3962">
        <v>8800322950999</v>
      </c>
      <c r="D3962">
        <v>534</v>
      </c>
      <c r="E3962">
        <v>0</v>
      </c>
      <c r="F3962">
        <v>0</v>
      </c>
      <c r="G3962">
        <v>0</v>
      </c>
      <c r="H3962">
        <v>534</v>
      </c>
      <c r="I3962" s="183" t="s">
        <v>5247</v>
      </c>
      <c r="J3962" s="183" t="s">
        <v>12087</v>
      </c>
      <c r="K3962">
        <v>0</v>
      </c>
      <c r="L3962">
        <v>534</v>
      </c>
    </row>
    <row r="3963" spans="1:12">
      <c r="A3963" s="183" t="s">
        <v>5564</v>
      </c>
      <c r="B3963" s="183" t="s">
        <v>5251</v>
      </c>
      <c r="C3963">
        <v>8800322947746</v>
      </c>
      <c r="D3963">
        <v>50</v>
      </c>
      <c r="E3963">
        <v>0</v>
      </c>
      <c r="F3963">
        <v>0</v>
      </c>
      <c r="G3963">
        <v>0</v>
      </c>
      <c r="H3963">
        <v>50</v>
      </c>
      <c r="I3963" s="183" t="s">
        <v>5247</v>
      </c>
      <c r="J3963" s="183" t="s">
        <v>12085</v>
      </c>
      <c r="K3963">
        <v>0</v>
      </c>
      <c r="L3963">
        <v>50</v>
      </c>
    </row>
    <row r="3964" spans="1:12">
      <c r="A3964" s="183" t="s">
        <v>5565</v>
      </c>
      <c r="B3964" s="183" t="s">
        <v>5251</v>
      </c>
      <c r="C3964">
        <v>8800322950258</v>
      </c>
      <c r="D3964">
        <v>50</v>
      </c>
      <c r="E3964">
        <v>0</v>
      </c>
      <c r="F3964">
        <v>0</v>
      </c>
      <c r="G3964">
        <v>0</v>
      </c>
      <c r="H3964">
        <v>50</v>
      </c>
      <c r="I3964" s="183" t="s">
        <v>5247</v>
      </c>
      <c r="J3964" s="183" t="s">
        <v>12094</v>
      </c>
      <c r="K3964">
        <v>0</v>
      </c>
      <c r="L3964">
        <v>50</v>
      </c>
    </row>
    <row r="3965" spans="1:12">
      <c r="A3965" s="183" t="s">
        <v>5522</v>
      </c>
      <c r="B3965" s="183" t="s">
        <v>5251</v>
      </c>
      <c r="C3965">
        <v>8800322951002</v>
      </c>
      <c r="D3965">
        <v>495</v>
      </c>
      <c r="E3965">
        <v>0</v>
      </c>
      <c r="F3965">
        <v>0</v>
      </c>
      <c r="G3965">
        <v>0</v>
      </c>
      <c r="H3965">
        <v>495</v>
      </c>
      <c r="I3965" s="183" t="s">
        <v>5247</v>
      </c>
      <c r="J3965" s="183" t="s">
        <v>12087</v>
      </c>
      <c r="K3965">
        <v>0</v>
      </c>
      <c r="L3965">
        <v>495</v>
      </c>
    </row>
    <row r="3966" spans="1:12">
      <c r="A3966" s="183" t="s">
        <v>5807</v>
      </c>
      <c r="B3966" s="183" t="s">
        <v>5251</v>
      </c>
      <c r="C3966">
        <v>8800322949504</v>
      </c>
      <c r="D3966">
        <v>50</v>
      </c>
      <c r="E3966">
        <v>0</v>
      </c>
      <c r="F3966">
        <v>0</v>
      </c>
      <c r="G3966">
        <v>0</v>
      </c>
      <c r="H3966">
        <v>50</v>
      </c>
      <c r="I3966" s="183" t="s">
        <v>5247</v>
      </c>
      <c r="J3966" s="183" t="s">
        <v>12087</v>
      </c>
      <c r="K3966">
        <v>0</v>
      </c>
      <c r="L3966">
        <v>50</v>
      </c>
    </row>
    <row r="3967" spans="1:12">
      <c r="A3967" s="183" t="s">
        <v>5808</v>
      </c>
      <c r="B3967" s="183" t="s">
        <v>5251</v>
      </c>
      <c r="C3967">
        <v>8800322948767</v>
      </c>
      <c r="D3967">
        <v>50</v>
      </c>
      <c r="E3967">
        <v>0</v>
      </c>
      <c r="F3967">
        <v>0</v>
      </c>
      <c r="G3967">
        <v>0</v>
      </c>
      <c r="H3967">
        <v>50</v>
      </c>
      <c r="I3967" s="183" t="s">
        <v>5247</v>
      </c>
      <c r="J3967" s="183" t="s">
        <v>12063</v>
      </c>
      <c r="K3967">
        <v>0</v>
      </c>
      <c r="L3967">
        <v>50</v>
      </c>
    </row>
    <row r="3968" spans="1:12">
      <c r="A3968" s="183" t="s">
        <v>5451</v>
      </c>
      <c r="B3968" s="183" t="s">
        <v>5251</v>
      </c>
      <c r="C3968">
        <v>8800322949771</v>
      </c>
      <c r="D3968">
        <v>50</v>
      </c>
      <c r="E3968">
        <v>0</v>
      </c>
      <c r="F3968">
        <v>0</v>
      </c>
      <c r="G3968">
        <v>0</v>
      </c>
      <c r="H3968">
        <v>50</v>
      </c>
      <c r="I3968" s="183" t="s">
        <v>5247</v>
      </c>
      <c r="J3968" s="183" t="s">
        <v>12050</v>
      </c>
      <c r="K3968">
        <v>0</v>
      </c>
      <c r="L3968">
        <v>50</v>
      </c>
    </row>
    <row r="3969" spans="1:12">
      <c r="A3969" s="183" t="s">
        <v>5452</v>
      </c>
      <c r="B3969" s="183" t="s">
        <v>5251</v>
      </c>
      <c r="C3969">
        <v>8800322948521</v>
      </c>
      <c r="D3969">
        <v>49</v>
      </c>
      <c r="E3969">
        <v>0</v>
      </c>
      <c r="F3969">
        <v>0</v>
      </c>
      <c r="G3969">
        <v>0</v>
      </c>
      <c r="H3969">
        <v>49</v>
      </c>
      <c r="I3969" s="183" t="s">
        <v>5247</v>
      </c>
      <c r="J3969" s="183" t="s">
        <v>12050</v>
      </c>
      <c r="K3969">
        <v>0</v>
      </c>
      <c r="L3969">
        <v>49</v>
      </c>
    </row>
    <row r="3970" spans="1:12">
      <c r="A3970" s="183" t="s">
        <v>5566</v>
      </c>
      <c r="B3970" s="183" t="s">
        <v>5251</v>
      </c>
      <c r="C3970">
        <v>8800322950036</v>
      </c>
      <c r="D3970">
        <v>50</v>
      </c>
      <c r="E3970">
        <v>0</v>
      </c>
      <c r="F3970">
        <v>0</v>
      </c>
      <c r="G3970">
        <v>0</v>
      </c>
      <c r="H3970">
        <v>50</v>
      </c>
      <c r="I3970" s="183" t="s">
        <v>5247</v>
      </c>
      <c r="J3970" s="183" t="s">
        <v>12066</v>
      </c>
      <c r="K3970">
        <v>0</v>
      </c>
      <c r="L3970">
        <v>50</v>
      </c>
    </row>
    <row r="3971" spans="1:12">
      <c r="A3971" s="183" t="s">
        <v>5809</v>
      </c>
      <c r="B3971" s="183" t="s">
        <v>5256</v>
      </c>
      <c r="C3971">
        <v>8800322950326</v>
      </c>
      <c r="D3971">
        <v>49</v>
      </c>
      <c r="E3971">
        <v>0</v>
      </c>
      <c r="F3971">
        <v>0</v>
      </c>
      <c r="G3971">
        <v>0</v>
      </c>
      <c r="H3971">
        <v>49</v>
      </c>
      <c r="I3971" s="183" t="s">
        <v>5247</v>
      </c>
      <c r="J3971" s="183" t="s">
        <v>12063</v>
      </c>
      <c r="K3971">
        <v>0</v>
      </c>
      <c r="L3971">
        <v>49</v>
      </c>
    </row>
    <row r="3972" spans="1:12">
      <c r="A3972" s="183" t="s">
        <v>5453</v>
      </c>
      <c r="B3972" s="183" t="s">
        <v>5267</v>
      </c>
      <c r="C3972">
        <v>8800322950593</v>
      </c>
      <c r="D3972">
        <v>718</v>
      </c>
      <c r="E3972">
        <v>0</v>
      </c>
      <c r="F3972">
        <v>0</v>
      </c>
      <c r="G3972">
        <v>0</v>
      </c>
      <c r="H3972">
        <v>718</v>
      </c>
      <c r="I3972" s="183" t="s">
        <v>5247</v>
      </c>
      <c r="J3972" s="183" t="s">
        <v>12050</v>
      </c>
      <c r="K3972">
        <v>0</v>
      </c>
      <c r="L3972">
        <v>718</v>
      </c>
    </row>
    <row r="3973" spans="1:12">
      <c r="A3973" s="183" t="s">
        <v>5454</v>
      </c>
      <c r="B3973" s="183" t="s">
        <v>5267</v>
      </c>
      <c r="C3973">
        <v>8800322951095</v>
      </c>
      <c r="D3973">
        <v>496</v>
      </c>
      <c r="E3973">
        <v>0</v>
      </c>
      <c r="F3973">
        <v>0</v>
      </c>
      <c r="G3973">
        <v>0</v>
      </c>
      <c r="H3973">
        <v>496</v>
      </c>
      <c r="I3973" s="183" t="s">
        <v>5247</v>
      </c>
      <c r="J3973" s="183" t="s">
        <v>12087</v>
      </c>
      <c r="K3973">
        <v>0</v>
      </c>
      <c r="L3973">
        <v>496</v>
      </c>
    </row>
    <row r="3974" spans="1:12">
      <c r="A3974" s="183" t="s">
        <v>5455</v>
      </c>
      <c r="B3974" s="183" t="s">
        <v>5296</v>
      </c>
      <c r="C3974">
        <v>8800322950623</v>
      </c>
      <c r="D3974">
        <v>489</v>
      </c>
      <c r="E3974">
        <v>0</v>
      </c>
      <c r="F3974">
        <v>0</v>
      </c>
      <c r="G3974">
        <v>0</v>
      </c>
      <c r="H3974">
        <v>489</v>
      </c>
      <c r="I3974" s="183" t="s">
        <v>5247</v>
      </c>
      <c r="J3974" s="183" t="s">
        <v>12063</v>
      </c>
      <c r="K3974">
        <v>0</v>
      </c>
      <c r="L3974">
        <v>489</v>
      </c>
    </row>
    <row r="3975" spans="1:12">
      <c r="A3975" s="183" t="s">
        <v>5810</v>
      </c>
      <c r="B3975" s="183" t="s">
        <v>5296</v>
      </c>
      <c r="C3975">
        <v>8800322948866</v>
      </c>
      <c r="D3975">
        <v>50</v>
      </c>
      <c r="E3975">
        <v>0</v>
      </c>
      <c r="F3975">
        <v>0</v>
      </c>
      <c r="G3975">
        <v>0</v>
      </c>
      <c r="H3975">
        <v>50</v>
      </c>
      <c r="I3975" s="183" t="s">
        <v>5247</v>
      </c>
      <c r="J3975" s="183" t="s">
        <v>12066</v>
      </c>
      <c r="K3975">
        <v>0</v>
      </c>
      <c r="L3975">
        <v>50</v>
      </c>
    </row>
    <row r="3976" spans="1:12">
      <c r="A3976" s="183" t="s">
        <v>5456</v>
      </c>
      <c r="B3976" s="183" t="s">
        <v>5296</v>
      </c>
      <c r="C3976">
        <v>8800322949870</v>
      </c>
      <c r="D3976">
        <v>50</v>
      </c>
      <c r="E3976">
        <v>0</v>
      </c>
      <c r="F3976">
        <v>0</v>
      </c>
      <c r="G3976">
        <v>0</v>
      </c>
      <c r="H3976">
        <v>50</v>
      </c>
      <c r="I3976" s="183" t="s">
        <v>5247</v>
      </c>
      <c r="J3976" s="183" t="s">
        <v>12048</v>
      </c>
      <c r="K3976">
        <v>0</v>
      </c>
      <c r="L3976">
        <v>50</v>
      </c>
    </row>
    <row r="3977" spans="1:12">
      <c r="A3977" s="183" t="s">
        <v>5457</v>
      </c>
      <c r="B3977" s="183" t="s">
        <v>5274</v>
      </c>
      <c r="C3977">
        <v>8800322950890</v>
      </c>
      <c r="D3977">
        <v>498</v>
      </c>
      <c r="E3977">
        <v>0</v>
      </c>
      <c r="F3977">
        <v>0</v>
      </c>
      <c r="G3977">
        <v>0</v>
      </c>
      <c r="H3977">
        <v>498</v>
      </c>
      <c r="I3977" s="183" t="s">
        <v>5247</v>
      </c>
      <c r="J3977" s="183" t="s">
        <v>12066</v>
      </c>
      <c r="K3977">
        <v>0</v>
      </c>
      <c r="L3977">
        <v>498</v>
      </c>
    </row>
    <row r="3978" spans="1:12">
      <c r="A3978" s="183" t="s">
        <v>5458</v>
      </c>
      <c r="B3978" s="183" t="s">
        <v>5274</v>
      </c>
      <c r="C3978">
        <v>8800322950654</v>
      </c>
      <c r="D3978">
        <v>649</v>
      </c>
      <c r="E3978">
        <v>0</v>
      </c>
      <c r="F3978">
        <v>0</v>
      </c>
      <c r="G3978">
        <v>0</v>
      </c>
      <c r="H3978">
        <v>649</v>
      </c>
      <c r="I3978" s="183" t="s">
        <v>5247</v>
      </c>
      <c r="J3978" s="183" t="s">
        <v>12063</v>
      </c>
      <c r="K3978">
        <v>0</v>
      </c>
      <c r="L3978">
        <v>649</v>
      </c>
    </row>
    <row r="3979" spans="1:12">
      <c r="A3979" s="183" t="s">
        <v>5459</v>
      </c>
      <c r="B3979" s="183" t="s">
        <v>5274</v>
      </c>
      <c r="C3979">
        <v>8800322947142</v>
      </c>
      <c r="D3979">
        <v>50</v>
      </c>
      <c r="E3979">
        <v>0</v>
      </c>
      <c r="F3979">
        <v>0</v>
      </c>
      <c r="G3979">
        <v>0</v>
      </c>
      <c r="H3979">
        <v>50</v>
      </c>
      <c r="I3979" s="183" t="s">
        <v>5247</v>
      </c>
      <c r="J3979" s="183" t="s">
        <v>12050</v>
      </c>
      <c r="K3979">
        <v>0</v>
      </c>
      <c r="L3979">
        <v>50</v>
      </c>
    </row>
    <row r="3980" spans="1:12">
      <c r="A3980" s="183" t="s">
        <v>5567</v>
      </c>
      <c r="B3980" s="183" t="s">
        <v>5274</v>
      </c>
      <c r="C3980">
        <v>8800322948149</v>
      </c>
      <c r="D3980">
        <v>50</v>
      </c>
      <c r="E3980">
        <v>0</v>
      </c>
      <c r="F3980">
        <v>0</v>
      </c>
      <c r="G3980">
        <v>0</v>
      </c>
      <c r="H3980">
        <v>50</v>
      </c>
      <c r="I3980" s="183" t="s">
        <v>5247</v>
      </c>
      <c r="J3980" s="183" t="s">
        <v>12066</v>
      </c>
      <c r="K3980">
        <v>0</v>
      </c>
      <c r="L3980">
        <v>50</v>
      </c>
    </row>
    <row r="3981" spans="1:12">
      <c r="A3981" s="183" t="s">
        <v>5523</v>
      </c>
      <c r="B3981" s="183" t="s">
        <v>5302</v>
      </c>
      <c r="C3981">
        <v>8800322948408</v>
      </c>
      <c r="D3981">
        <v>50</v>
      </c>
      <c r="E3981">
        <v>0</v>
      </c>
      <c r="F3981">
        <v>0</v>
      </c>
      <c r="G3981">
        <v>0</v>
      </c>
      <c r="H3981">
        <v>50</v>
      </c>
      <c r="I3981" s="183" t="s">
        <v>5247</v>
      </c>
      <c r="J3981" s="183" t="s">
        <v>12095</v>
      </c>
      <c r="K3981">
        <v>0</v>
      </c>
      <c r="L3981">
        <v>50</v>
      </c>
    </row>
    <row r="3982" spans="1:12">
      <c r="A3982" s="183" t="s">
        <v>5460</v>
      </c>
      <c r="B3982" s="183" t="s">
        <v>5302</v>
      </c>
      <c r="C3982">
        <v>8800322949900</v>
      </c>
      <c r="D3982">
        <v>50</v>
      </c>
      <c r="E3982">
        <v>0</v>
      </c>
      <c r="F3982">
        <v>0</v>
      </c>
      <c r="G3982">
        <v>0</v>
      </c>
      <c r="H3982">
        <v>50</v>
      </c>
      <c r="I3982" s="183" t="s">
        <v>5247</v>
      </c>
      <c r="J3982" s="183" t="s">
        <v>12048</v>
      </c>
      <c r="K3982">
        <v>0</v>
      </c>
      <c r="L3982">
        <v>50</v>
      </c>
    </row>
    <row r="3983" spans="1:12">
      <c r="A3983" s="183" t="s">
        <v>5461</v>
      </c>
      <c r="B3983" s="183" t="s">
        <v>5302</v>
      </c>
      <c r="C3983">
        <v>8800322950661</v>
      </c>
      <c r="D3983">
        <v>546</v>
      </c>
      <c r="E3983">
        <v>0</v>
      </c>
      <c r="F3983">
        <v>0</v>
      </c>
      <c r="G3983">
        <v>0</v>
      </c>
      <c r="H3983">
        <v>546</v>
      </c>
      <c r="I3983" s="183" t="s">
        <v>5247</v>
      </c>
      <c r="J3983" s="183" t="s">
        <v>12066</v>
      </c>
      <c r="K3983">
        <v>0</v>
      </c>
      <c r="L3983">
        <v>546</v>
      </c>
    </row>
    <row r="3984" spans="1:12">
      <c r="A3984" s="183" t="s">
        <v>5462</v>
      </c>
      <c r="B3984" s="183" t="s">
        <v>5302</v>
      </c>
      <c r="C3984">
        <v>8800322947159</v>
      </c>
      <c r="D3984">
        <v>50</v>
      </c>
      <c r="E3984">
        <v>0</v>
      </c>
      <c r="F3984">
        <v>0</v>
      </c>
      <c r="G3984">
        <v>0</v>
      </c>
      <c r="H3984">
        <v>50</v>
      </c>
      <c r="I3984" s="183" t="s">
        <v>5247</v>
      </c>
      <c r="J3984" s="183" t="s">
        <v>12050</v>
      </c>
      <c r="K3984">
        <v>0</v>
      </c>
      <c r="L3984">
        <v>50</v>
      </c>
    </row>
    <row r="3985" spans="1:12">
      <c r="A3985" s="183" t="s">
        <v>5568</v>
      </c>
      <c r="B3985" s="183" t="s">
        <v>5302</v>
      </c>
      <c r="C3985">
        <v>8800322950166</v>
      </c>
      <c r="D3985">
        <v>50</v>
      </c>
      <c r="E3985">
        <v>0</v>
      </c>
      <c r="F3985">
        <v>0</v>
      </c>
      <c r="G3985">
        <v>0</v>
      </c>
      <c r="H3985">
        <v>50</v>
      </c>
      <c r="I3985" s="183" t="s">
        <v>5247</v>
      </c>
      <c r="J3985" s="183" t="s">
        <v>12066</v>
      </c>
      <c r="K3985">
        <v>0</v>
      </c>
      <c r="L3985">
        <v>50</v>
      </c>
    </row>
    <row r="3986" spans="1:12">
      <c r="A3986" s="183" t="s">
        <v>5463</v>
      </c>
      <c r="B3986" s="183" t="s">
        <v>5302</v>
      </c>
      <c r="C3986">
        <v>8800322947661</v>
      </c>
      <c r="D3986">
        <v>50</v>
      </c>
      <c r="E3986">
        <v>0</v>
      </c>
      <c r="F3986">
        <v>0</v>
      </c>
      <c r="G3986">
        <v>0</v>
      </c>
      <c r="H3986">
        <v>50</v>
      </c>
      <c r="I3986" s="183" t="s">
        <v>5247</v>
      </c>
      <c r="J3986" s="183" t="s">
        <v>12055</v>
      </c>
      <c r="K3986">
        <v>0</v>
      </c>
      <c r="L3986">
        <v>50</v>
      </c>
    </row>
    <row r="3987" spans="1:12">
      <c r="A3987" s="183" t="s">
        <v>5569</v>
      </c>
      <c r="B3987" s="183" t="s">
        <v>5302</v>
      </c>
      <c r="C3987">
        <v>8800322948668</v>
      </c>
      <c r="D3987">
        <v>50</v>
      </c>
      <c r="E3987">
        <v>0</v>
      </c>
      <c r="F3987">
        <v>0</v>
      </c>
      <c r="G3987">
        <v>0</v>
      </c>
      <c r="H3987">
        <v>50</v>
      </c>
      <c r="I3987" s="183" t="s">
        <v>5247</v>
      </c>
      <c r="J3987" s="183" t="s">
        <v>12055</v>
      </c>
      <c r="K3987">
        <v>0</v>
      </c>
      <c r="L3987">
        <v>50</v>
      </c>
    </row>
    <row r="3988" spans="1:12">
      <c r="A3988" s="183" t="s">
        <v>5570</v>
      </c>
      <c r="B3988" s="183" t="s">
        <v>5302</v>
      </c>
      <c r="C3988">
        <v>8800322947418</v>
      </c>
      <c r="D3988">
        <v>34</v>
      </c>
      <c r="E3988">
        <v>0</v>
      </c>
      <c r="F3988">
        <v>0</v>
      </c>
      <c r="G3988">
        <v>0</v>
      </c>
      <c r="H3988">
        <v>34</v>
      </c>
      <c r="I3988" s="183" t="s">
        <v>5247</v>
      </c>
      <c r="J3988" s="183" t="s">
        <v>12095</v>
      </c>
      <c r="K3988">
        <v>0</v>
      </c>
      <c r="L3988">
        <v>34</v>
      </c>
    </row>
    <row r="3989" spans="1:12">
      <c r="A3989" s="183" t="s">
        <v>5464</v>
      </c>
      <c r="B3989" s="183" t="s">
        <v>5277</v>
      </c>
      <c r="C3989">
        <v>8800322949924</v>
      </c>
      <c r="D3989">
        <v>50</v>
      </c>
      <c r="E3989">
        <v>0</v>
      </c>
      <c r="F3989">
        <v>0</v>
      </c>
      <c r="G3989">
        <v>0</v>
      </c>
      <c r="H3989">
        <v>50</v>
      </c>
      <c r="I3989" s="183" t="s">
        <v>5247</v>
      </c>
      <c r="J3989" s="183" t="s">
        <v>12063</v>
      </c>
      <c r="K3989">
        <v>0</v>
      </c>
      <c r="L3989">
        <v>50</v>
      </c>
    </row>
    <row r="3990" spans="1:12">
      <c r="A3990" s="183" t="s">
        <v>5465</v>
      </c>
      <c r="B3990" s="183" t="s">
        <v>5277</v>
      </c>
      <c r="C3990">
        <v>8800322951187</v>
      </c>
      <c r="D3990">
        <v>546</v>
      </c>
      <c r="E3990">
        <v>0</v>
      </c>
      <c r="F3990">
        <v>0</v>
      </c>
      <c r="G3990">
        <v>0</v>
      </c>
      <c r="H3990">
        <v>546</v>
      </c>
      <c r="I3990" s="183" t="s">
        <v>5247</v>
      </c>
      <c r="J3990" s="183" t="s">
        <v>12063</v>
      </c>
      <c r="K3990">
        <v>0</v>
      </c>
      <c r="L3990">
        <v>546</v>
      </c>
    </row>
    <row r="3991" spans="1:12">
      <c r="A3991" s="183" t="s">
        <v>5466</v>
      </c>
      <c r="B3991" s="183" t="s">
        <v>5277</v>
      </c>
      <c r="C3991">
        <v>8800322949931</v>
      </c>
      <c r="D3991">
        <v>50</v>
      </c>
      <c r="E3991">
        <v>0</v>
      </c>
      <c r="F3991">
        <v>0</v>
      </c>
      <c r="G3991">
        <v>0</v>
      </c>
      <c r="H3991">
        <v>50</v>
      </c>
      <c r="I3991" s="183" t="s">
        <v>5247</v>
      </c>
      <c r="J3991" s="183" t="s">
        <v>12066</v>
      </c>
      <c r="K3991">
        <v>0</v>
      </c>
      <c r="L3991">
        <v>50</v>
      </c>
    </row>
    <row r="3992" spans="1:12">
      <c r="A3992" s="183" t="s">
        <v>5571</v>
      </c>
      <c r="B3992" s="183" t="s">
        <v>5277</v>
      </c>
      <c r="C3992">
        <v>8800322948682</v>
      </c>
      <c r="D3992">
        <v>50</v>
      </c>
      <c r="E3992">
        <v>0</v>
      </c>
      <c r="F3992">
        <v>0</v>
      </c>
      <c r="G3992">
        <v>0</v>
      </c>
      <c r="H3992">
        <v>50</v>
      </c>
      <c r="I3992" s="183" t="s">
        <v>5247</v>
      </c>
      <c r="J3992" s="183" t="s">
        <v>12050</v>
      </c>
      <c r="K3992">
        <v>0</v>
      </c>
      <c r="L3992">
        <v>50</v>
      </c>
    </row>
    <row r="3993" spans="1:12">
      <c r="A3993" s="183" t="s">
        <v>5572</v>
      </c>
      <c r="B3993" s="183" t="s">
        <v>5277</v>
      </c>
      <c r="C3993">
        <v>8800322947432</v>
      </c>
      <c r="D3993">
        <v>50</v>
      </c>
      <c r="E3993">
        <v>0</v>
      </c>
      <c r="F3993">
        <v>0</v>
      </c>
      <c r="G3993">
        <v>0</v>
      </c>
      <c r="H3993">
        <v>50</v>
      </c>
      <c r="I3993" s="183" t="s">
        <v>5247</v>
      </c>
      <c r="J3993" s="183" t="s">
        <v>12095</v>
      </c>
      <c r="K3993">
        <v>0</v>
      </c>
      <c r="L3993">
        <v>50</v>
      </c>
    </row>
    <row r="3994" spans="1:12">
      <c r="A3994" s="183" t="s">
        <v>5467</v>
      </c>
      <c r="B3994" s="183" t="s">
        <v>5308</v>
      </c>
      <c r="C3994">
        <v>8800322949191</v>
      </c>
      <c r="D3994">
        <v>50</v>
      </c>
      <c r="E3994">
        <v>0</v>
      </c>
      <c r="F3994">
        <v>0</v>
      </c>
      <c r="G3994">
        <v>0</v>
      </c>
      <c r="H3994">
        <v>50</v>
      </c>
      <c r="I3994" s="183" t="s">
        <v>5247</v>
      </c>
      <c r="J3994" s="183" t="s">
        <v>12087</v>
      </c>
      <c r="K3994">
        <v>0</v>
      </c>
      <c r="L3994">
        <v>50</v>
      </c>
    </row>
    <row r="3995" spans="1:12">
      <c r="A3995" s="183" t="s">
        <v>5606</v>
      </c>
      <c r="B3995" s="183" t="s">
        <v>5308</v>
      </c>
      <c r="C3995">
        <v>8800322950203</v>
      </c>
      <c r="D3995">
        <v>50</v>
      </c>
      <c r="E3995">
        <v>0</v>
      </c>
      <c r="F3995">
        <v>0</v>
      </c>
      <c r="G3995">
        <v>0</v>
      </c>
      <c r="H3995">
        <v>50</v>
      </c>
      <c r="I3995" s="183" t="s">
        <v>5247</v>
      </c>
      <c r="J3995" s="183" t="s">
        <v>12050</v>
      </c>
      <c r="K3995">
        <v>0</v>
      </c>
      <c r="L3995">
        <v>50</v>
      </c>
    </row>
    <row r="3996" spans="1:12">
      <c r="A3996" s="183" t="s">
        <v>5607</v>
      </c>
      <c r="B3996" s="183" t="s">
        <v>5308</v>
      </c>
      <c r="C3996">
        <v>8800322949696</v>
      </c>
      <c r="D3996">
        <v>50</v>
      </c>
      <c r="E3996">
        <v>0</v>
      </c>
      <c r="F3996">
        <v>0</v>
      </c>
      <c r="G3996">
        <v>0</v>
      </c>
      <c r="H3996">
        <v>50</v>
      </c>
      <c r="I3996" s="183" t="s">
        <v>5247</v>
      </c>
      <c r="J3996" s="183" t="s">
        <v>12048</v>
      </c>
      <c r="K3996">
        <v>0</v>
      </c>
      <c r="L3996">
        <v>50</v>
      </c>
    </row>
    <row r="3997" spans="1:12">
      <c r="A3997" s="183" t="s">
        <v>872</v>
      </c>
      <c r="B3997" s="183" t="s">
        <v>1039</v>
      </c>
      <c r="C3997">
        <v>8809867716336</v>
      </c>
      <c r="D3997">
        <v>839</v>
      </c>
      <c r="E3997">
        <v>0</v>
      </c>
      <c r="F3997">
        <v>0</v>
      </c>
      <c r="G3997">
        <v>0</v>
      </c>
      <c r="H3997">
        <v>839</v>
      </c>
      <c r="I3997" s="183" t="s">
        <v>1040</v>
      </c>
      <c r="J3997" s="183" t="s">
        <v>12091</v>
      </c>
      <c r="K3997">
        <v>0</v>
      </c>
      <c r="L3997">
        <v>839</v>
      </c>
    </row>
    <row r="3998" spans="1:12">
      <c r="A3998" s="183" t="s">
        <v>889</v>
      </c>
      <c r="B3998" s="183" t="s">
        <v>1039</v>
      </c>
      <c r="C3998">
        <v>8809867716367</v>
      </c>
      <c r="D3998" s="501">
        <v>2448</v>
      </c>
      <c r="E3998">
        <v>0</v>
      </c>
      <c r="F3998">
        <v>0</v>
      </c>
      <c r="G3998">
        <v>0</v>
      </c>
      <c r="H3998" s="501">
        <v>2448</v>
      </c>
      <c r="I3998" s="183" t="s">
        <v>1040</v>
      </c>
      <c r="J3998" s="183" t="s">
        <v>12067</v>
      </c>
      <c r="K3998">
        <v>0</v>
      </c>
      <c r="L3998" s="501">
        <v>2448</v>
      </c>
    </row>
    <row r="3999" spans="1:12">
      <c r="A3999" s="183" t="s">
        <v>891</v>
      </c>
      <c r="B3999" s="183" t="s">
        <v>1039</v>
      </c>
      <c r="C3999">
        <v>8809867716459</v>
      </c>
      <c r="D3999" s="501">
        <v>1559</v>
      </c>
      <c r="E3999">
        <v>0</v>
      </c>
      <c r="F3999">
        <v>1</v>
      </c>
      <c r="G3999">
        <v>0</v>
      </c>
      <c r="H3999" s="501">
        <v>1560</v>
      </c>
      <c r="I3999" s="183" t="s">
        <v>1040</v>
      </c>
      <c r="J3999" s="183" t="s">
        <v>12067</v>
      </c>
      <c r="K3999">
        <v>0</v>
      </c>
      <c r="L3999" s="501">
        <v>1559</v>
      </c>
    </row>
    <row r="4000" spans="1:12">
      <c r="A4000" s="183" t="s">
        <v>3515</v>
      </c>
      <c r="B4000" s="183" t="s">
        <v>1039</v>
      </c>
      <c r="C4000">
        <v>8809867716619</v>
      </c>
      <c r="D4000" s="501">
        <v>1168</v>
      </c>
      <c r="E4000">
        <v>0</v>
      </c>
      <c r="F4000">
        <v>0</v>
      </c>
      <c r="G4000">
        <v>0</v>
      </c>
      <c r="H4000" s="501">
        <v>1168</v>
      </c>
      <c r="I4000" s="183" t="s">
        <v>1040</v>
      </c>
      <c r="J4000" s="183" t="s">
        <v>12052</v>
      </c>
      <c r="K4000">
        <v>0</v>
      </c>
      <c r="L4000" s="501">
        <v>1168</v>
      </c>
    </row>
    <row r="4001" spans="1:12">
      <c r="A4001" s="183" t="s">
        <v>3518</v>
      </c>
      <c r="B4001" s="183" t="s">
        <v>1039</v>
      </c>
      <c r="C4001">
        <v>8809867716701</v>
      </c>
      <c r="D4001" s="501">
        <v>1033</v>
      </c>
      <c r="E4001">
        <v>0</v>
      </c>
      <c r="F4001">
        <v>0</v>
      </c>
      <c r="G4001">
        <v>0</v>
      </c>
      <c r="H4001" s="501">
        <v>1033</v>
      </c>
      <c r="I4001" s="183" t="s">
        <v>1040</v>
      </c>
      <c r="J4001" s="183" t="s">
        <v>12066</v>
      </c>
      <c r="K4001">
        <v>0</v>
      </c>
      <c r="L4001" s="501">
        <v>1033</v>
      </c>
    </row>
    <row r="4002" spans="1:12">
      <c r="A4002" s="183" t="s">
        <v>873</v>
      </c>
      <c r="B4002" s="183" t="s">
        <v>1039</v>
      </c>
      <c r="C4002">
        <v>8809867716787</v>
      </c>
      <c r="D4002">
        <v>557</v>
      </c>
      <c r="E4002">
        <v>0</v>
      </c>
      <c r="F4002">
        <v>0</v>
      </c>
      <c r="G4002">
        <v>0</v>
      </c>
      <c r="H4002">
        <v>557</v>
      </c>
      <c r="I4002" s="183" t="s">
        <v>1040</v>
      </c>
      <c r="J4002" s="183" t="s">
        <v>12085</v>
      </c>
      <c r="K4002">
        <v>0</v>
      </c>
      <c r="L4002">
        <v>557</v>
      </c>
    </row>
    <row r="4003" spans="1:12">
      <c r="A4003" s="183" t="s">
        <v>3508</v>
      </c>
      <c r="B4003" s="183" t="s">
        <v>1039</v>
      </c>
      <c r="C4003">
        <v>8809867716848</v>
      </c>
      <c r="D4003" s="501">
        <v>1194</v>
      </c>
      <c r="E4003">
        <v>0</v>
      </c>
      <c r="F4003">
        <v>0</v>
      </c>
      <c r="G4003">
        <v>0</v>
      </c>
      <c r="H4003" s="501">
        <v>1194</v>
      </c>
      <c r="I4003" s="183" t="s">
        <v>1040</v>
      </c>
      <c r="J4003" s="183" t="s">
        <v>12048</v>
      </c>
      <c r="K4003">
        <v>0</v>
      </c>
      <c r="L4003" s="501">
        <v>1194</v>
      </c>
    </row>
    <row r="4004" spans="1:12">
      <c r="A4004" s="183" t="s">
        <v>3516</v>
      </c>
      <c r="B4004" s="183" t="s">
        <v>1039</v>
      </c>
      <c r="C4004">
        <v>8809867716855</v>
      </c>
      <c r="D4004">
        <v>928</v>
      </c>
      <c r="E4004">
        <v>0</v>
      </c>
      <c r="F4004">
        <v>0</v>
      </c>
      <c r="G4004">
        <v>0</v>
      </c>
      <c r="H4004">
        <v>928</v>
      </c>
      <c r="I4004" s="183" t="s">
        <v>1040</v>
      </c>
      <c r="J4004" s="183" t="s">
        <v>12081</v>
      </c>
      <c r="K4004">
        <v>0</v>
      </c>
      <c r="L4004">
        <v>928</v>
      </c>
    </row>
    <row r="4005" spans="1:12">
      <c r="A4005" s="183" t="s">
        <v>874</v>
      </c>
      <c r="B4005" s="183" t="s">
        <v>1039</v>
      </c>
      <c r="C4005">
        <v>8809867716916</v>
      </c>
      <c r="D4005">
        <v>842</v>
      </c>
      <c r="E4005">
        <v>0</v>
      </c>
      <c r="F4005">
        <v>0</v>
      </c>
      <c r="G4005">
        <v>0</v>
      </c>
      <c r="H4005">
        <v>842</v>
      </c>
      <c r="I4005" s="183" t="s">
        <v>1040</v>
      </c>
      <c r="J4005" s="183" t="s">
        <v>12092</v>
      </c>
      <c r="K4005">
        <v>0</v>
      </c>
      <c r="L4005">
        <v>842</v>
      </c>
    </row>
    <row r="4006" spans="1:12">
      <c r="A4006" s="183" t="s">
        <v>902</v>
      </c>
      <c r="B4006" s="183" t="s">
        <v>1039</v>
      </c>
      <c r="C4006">
        <v>8809867716947</v>
      </c>
      <c r="D4006">
        <v>245</v>
      </c>
      <c r="E4006">
        <v>0</v>
      </c>
      <c r="F4006">
        <v>0</v>
      </c>
      <c r="G4006">
        <v>0</v>
      </c>
      <c r="H4006">
        <v>245</v>
      </c>
      <c r="I4006" s="183" t="s">
        <v>1040</v>
      </c>
      <c r="J4006" s="183" t="s">
        <v>12081</v>
      </c>
      <c r="K4006">
        <v>0</v>
      </c>
      <c r="L4006">
        <v>245</v>
      </c>
    </row>
    <row r="4007" spans="1:12">
      <c r="A4007" s="183" t="s">
        <v>3946</v>
      </c>
      <c r="B4007" s="183" t="s">
        <v>1039</v>
      </c>
      <c r="C4007">
        <v>8809867716954</v>
      </c>
      <c r="D4007">
        <v>185</v>
      </c>
      <c r="E4007">
        <v>0</v>
      </c>
      <c r="F4007">
        <v>0</v>
      </c>
      <c r="G4007">
        <v>0</v>
      </c>
      <c r="H4007">
        <v>185</v>
      </c>
      <c r="I4007" s="183" t="s">
        <v>1040</v>
      </c>
      <c r="J4007" s="183" t="s">
        <v>12081</v>
      </c>
      <c r="K4007">
        <v>0</v>
      </c>
      <c r="L4007">
        <v>185</v>
      </c>
    </row>
    <row r="4008" spans="1:12">
      <c r="A4008" s="183" t="s">
        <v>896</v>
      </c>
      <c r="B4008" s="183" t="s">
        <v>1039</v>
      </c>
      <c r="C4008">
        <v>8809867716992</v>
      </c>
      <c r="D4008" s="501">
        <v>2272</v>
      </c>
      <c r="E4008">
        <v>0</v>
      </c>
      <c r="F4008">
        <v>0</v>
      </c>
      <c r="G4008">
        <v>0</v>
      </c>
      <c r="H4008" s="501">
        <v>2272</v>
      </c>
      <c r="I4008" s="183" t="s">
        <v>1040</v>
      </c>
      <c r="J4008" s="183" t="s">
        <v>12087</v>
      </c>
      <c r="K4008">
        <v>0</v>
      </c>
      <c r="L4008" s="501">
        <v>2272</v>
      </c>
    </row>
    <row r="4009" spans="1:12">
      <c r="A4009" s="183" t="s">
        <v>1521</v>
      </c>
      <c r="B4009" s="183" t="s">
        <v>1039</v>
      </c>
      <c r="C4009">
        <v>8809867717128</v>
      </c>
      <c r="D4009">
        <v>56</v>
      </c>
      <c r="E4009">
        <v>0</v>
      </c>
      <c r="F4009">
        <v>0</v>
      </c>
      <c r="G4009">
        <v>0</v>
      </c>
      <c r="H4009">
        <v>56</v>
      </c>
      <c r="I4009" s="183" t="s">
        <v>1040</v>
      </c>
      <c r="J4009" s="183" t="s">
        <v>12091</v>
      </c>
      <c r="K4009">
        <v>0</v>
      </c>
      <c r="L4009">
        <v>56</v>
      </c>
    </row>
    <row r="4010" spans="1:12">
      <c r="A4010" s="183" t="s">
        <v>2980</v>
      </c>
      <c r="B4010" s="183" t="s">
        <v>1039</v>
      </c>
      <c r="C4010">
        <v>8809867717142</v>
      </c>
      <c r="D4010">
        <v>65</v>
      </c>
      <c r="E4010">
        <v>0</v>
      </c>
      <c r="F4010">
        <v>0</v>
      </c>
      <c r="G4010">
        <v>0</v>
      </c>
      <c r="H4010">
        <v>65</v>
      </c>
      <c r="I4010" s="183" t="s">
        <v>1040</v>
      </c>
      <c r="J4010" s="183" t="s">
        <v>12092</v>
      </c>
      <c r="K4010">
        <v>0</v>
      </c>
      <c r="L4010">
        <v>65</v>
      </c>
    </row>
    <row r="4011" spans="1:12">
      <c r="A4011" s="183" t="s">
        <v>928</v>
      </c>
      <c r="B4011" s="183" t="s">
        <v>927</v>
      </c>
      <c r="C4011">
        <v>8809867717180</v>
      </c>
      <c r="D4011" s="501">
        <v>1259</v>
      </c>
      <c r="E4011">
        <v>0</v>
      </c>
      <c r="F4011">
        <v>0</v>
      </c>
      <c r="G4011">
        <v>0</v>
      </c>
      <c r="H4011" s="501">
        <v>1259</v>
      </c>
      <c r="I4011" s="183" t="s">
        <v>1021</v>
      </c>
      <c r="J4011" s="183" t="s">
        <v>12081</v>
      </c>
      <c r="K4011">
        <v>0</v>
      </c>
      <c r="L4011" s="501">
        <v>1259</v>
      </c>
    </row>
    <row r="4012" spans="1:12">
      <c r="A4012" s="183" t="s">
        <v>929</v>
      </c>
      <c r="B4012" s="183" t="s">
        <v>927</v>
      </c>
      <c r="C4012">
        <v>8809867717210</v>
      </c>
      <c r="D4012" s="501">
        <v>1266</v>
      </c>
      <c r="E4012">
        <v>0</v>
      </c>
      <c r="F4012">
        <v>0</v>
      </c>
      <c r="G4012">
        <v>0</v>
      </c>
      <c r="H4012" s="501">
        <v>1266</v>
      </c>
      <c r="I4012" s="183" t="s">
        <v>1021</v>
      </c>
      <c r="J4012" s="183" t="s">
        <v>12053</v>
      </c>
      <c r="K4012">
        <v>0</v>
      </c>
      <c r="L4012" s="501">
        <v>1266</v>
      </c>
    </row>
    <row r="4013" spans="1:12">
      <c r="A4013" s="183" t="s">
        <v>907</v>
      </c>
      <c r="B4013" s="183" t="s">
        <v>927</v>
      </c>
      <c r="C4013">
        <v>8809867717234</v>
      </c>
      <c r="D4013" s="501">
        <v>1112</v>
      </c>
      <c r="E4013">
        <v>0</v>
      </c>
      <c r="F4013">
        <v>0</v>
      </c>
      <c r="G4013">
        <v>0</v>
      </c>
      <c r="H4013" s="501">
        <v>1112</v>
      </c>
      <c r="I4013" s="183" t="s">
        <v>1021</v>
      </c>
      <c r="J4013" s="183" t="s">
        <v>12081</v>
      </c>
      <c r="K4013">
        <v>0</v>
      </c>
      <c r="L4013" s="501">
        <v>1112</v>
      </c>
    </row>
    <row r="4014" spans="1:12">
      <c r="A4014" s="183" t="s">
        <v>956</v>
      </c>
      <c r="B4014" s="183" t="s">
        <v>927</v>
      </c>
      <c r="C4014">
        <v>8809867717289</v>
      </c>
      <c r="D4014">
        <v>997</v>
      </c>
      <c r="E4014">
        <v>0</v>
      </c>
      <c r="F4014">
        <v>0</v>
      </c>
      <c r="G4014">
        <v>0</v>
      </c>
      <c r="H4014">
        <v>997</v>
      </c>
      <c r="I4014" s="183" t="s">
        <v>1021</v>
      </c>
      <c r="J4014" s="183" t="s">
        <v>12048</v>
      </c>
      <c r="K4014">
        <v>0</v>
      </c>
      <c r="L4014">
        <v>997</v>
      </c>
    </row>
    <row r="4015" spans="1:12">
      <c r="A4015" s="183" t="s">
        <v>5951</v>
      </c>
      <c r="B4015" s="183" t="s">
        <v>5894</v>
      </c>
      <c r="C4015">
        <v>8800322957004</v>
      </c>
      <c r="D4015">
        <v>109</v>
      </c>
      <c r="E4015">
        <v>0</v>
      </c>
      <c r="F4015">
        <v>0</v>
      </c>
      <c r="G4015">
        <v>0</v>
      </c>
      <c r="H4015">
        <v>109</v>
      </c>
      <c r="I4015" s="183" t="s">
        <v>5899</v>
      </c>
      <c r="J4015" s="183" t="s">
        <v>12066</v>
      </c>
      <c r="K4015">
        <v>0</v>
      </c>
      <c r="L4015">
        <v>109</v>
      </c>
    </row>
    <row r="4016" spans="1:12">
      <c r="A4016" s="183" t="s">
        <v>5983</v>
      </c>
      <c r="B4016" s="183" t="s">
        <v>5984</v>
      </c>
      <c r="C4016">
        <v>8800322957042</v>
      </c>
      <c r="D4016">
        <v>92</v>
      </c>
      <c r="E4016">
        <v>0</v>
      </c>
      <c r="F4016">
        <v>0</v>
      </c>
      <c r="G4016">
        <v>0</v>
      </c>
      <c r="H4016">
        <v>92</v>
      </c>
      <c r="I4016" s="183" t="s">
        <v>5985</v>
      </c>
      <c r="J4016" s="183" t="s">
        <v>12061</v>
      </c>
      <c r="K4016">
        <v>0</v>
      </c>
      <c r="L4016">
        <v>92</v>
      </c>
    </row>
    <row r="4017" spans="1:12">
      <c r="A4017" s="183" t="s">
        <v>6033</v>
      </c>
      <c r="B4017" s="183" t="s">
        <v>5984</v>
      </c>
      <c r="C4017">
        <v>8800322957271</v>
      </c>
      <c r="D4017">
        <v>68</v>
      </c>
      <c r="E4017">
        <v>0</v>
      </c>
      <c r="F4017">
        <v>0</v>
      </c>
      <c r="G4017">
        <v>0</v>
      </c>
      <c r="H4017">
        <v>68</v>
      </c>
      <c r="I4017" s="183" t="s">
        <v>5985</v>
      </c>
      <c r="J4017" s="183" t="s">
        <v>12066</v>
      </c>
      <c r="K4017">
        <v>0</v>
      </c>
      <c r="L4017">
        <v>68</v>
      </c>
    </row>
    <row r="4018" spans="1:12">
      <c r="A4018" s="183" t="s">
        <v>6034</v>
      </c>
      <c r="B4018" s="183" t="s">
        <v>5995</v>
      </c>
      <c r="C4018">
        <v>8800322957554</v>
      </c>
      <c r="D4018">
        <v>94</v>
      </c>
      <c r="E4018">
        <v>0</v>
      </c>
      <c r="F4018">
        <v>0</v>
      </c>
      <c r="G4018">
        <v>0</v>
      </c>
      <c r="H4018">
        <v>94</v>
      </c>
      <c r="I4018" s="183" t="s">
        <v>5999</v>
      </c>
      <c r="J4018" s="183" t="s">
        <v>12066</v>
      </c>
      <c r="K4018">
        <v>0</v>
      </c>
      <c r="L4018">
        <v>94</v>
      </c>
    </row>
    <row r="4019" spans="1:12">
      <c r="A4019" s="183" t="s">
        <v>6035</v>
      </c>
      <c r="B4019" s="183" t="s">
        <v>5995</v>
      </c>
      <c r="C4019">
        <v>8800322957691</v>
      </c>
      <c r="D4019">
        <v>196</v>
      </c>
      <c r="E4019">
        <v>0</v>
      </c>
      <c r="F4019">
        <v>0</v>
      </c>
      <c r="G4019">
        <v>0</v>
      </c>
      <c r="H4019">
        <v>196</v>
      </c>
      <c r="I4019" s="183" t="s">
        <v>5999</v>
      </c>
      <c r="J4019" s="183" t="s">
        <v>12095</v>
      </c>
      <c r="K4019">
        <v>0</v>
      </c>
      <c r="L4019">
        <v>196</v>
      </c>
    </row>
    <row r="4020" spans="1:12">
      <c r="A4020" s="183" t="s">
        <v>6036</v>
      </c>
      <c r="B4020" s="183" t="s">
        <v>5995</v>
      </c>
      <c r="C4020">
        <v>8800322957806</v>
      </c>
      <c r="D4020">
        <v>76</v>
      </c>
      <c r="E4020">
        <v>0</v>
      </c>
      <c r="F4020">
        <v>0</v>
      </c>
      <c r="G4020">
        <v>0</v>
      </c>
      <c r="H4020">
        <v>76</v>
      </c>
      <c r="I4020" s="183" t="s">
        <v>5999</v>
      </c>
      <c r="J4020" s="183" t="s">
        <v>12057</v>
      </c>
      <c r="K4020">
        <v>0</v>
      </c>
      <c r="L4020">
        <v>76</v>
      </c>
    </row>
    <row r="4021" spans="1:12">
      <c r="A4021" s="183" t="s">
        <v>9016</v>
      </c>
      <c r="B4021" s="183" t="s">
        <v>8644</v>
      </c>
      <c r="C4021">
        <v>8800358456458</v>
      </c>
      <c r="D4021">
        <v>498</v>
      </c>
      <c r="E4021">
        <v>0</v>
      </c>
      <c r="F4021">
        <v>0</v>
      </c>
      <c r="G4021">
        <v>0</v>
      </c>
      <c r="H4021">
        <v>498</v>
      </c>
      <c r="I4021" s="183" t="s">
        <v>8996</v>
      </c>
      <c r="J4021" s="183" t="s">
        <v>12095</v>
      </c>
      <c r="K4021">
        <v>0</v>
      </c>
      <c r="L4021">
        <v>498</v>
      </c>
    </row>
    <row r="4022" spans="1:12">
      <c r="A4022" s="183" t="s">
        <v>9017</v>
      </c>
      <c r="B4022" s="183" t="s">
        <v>8644</v>
      </c>
      <c r="C4022">
        <v>8800358456526</v>
      </c>
      <c r="D4022">
        <v>340</v>
      </c>
      <c r="E4022">
        <v>0</v>
      </c>
      <c r="F4022">
        <v>0</v>
      </c>
      <c r="G4022">
        <v>0</v>
      </c>
      <c r="H4022">
        <v>340</v>
      </c>
      <c r="I4022" s="183" t="s">
        <v>8996</v>
      </c>
      <c r="J4022" s="183" t="s">
        <v>12050</v>
      </c>
      <c r="K4022">
        <v>0</v>
      </c>
      <c r="L4022">
        <v>340</v>
      </c>
    </row>
    <row r="4023" spans="1:12">
      <c r="A4023" s="183" t="s">
        <v>9018</v>
      </c>
      <c r="B4023" s="183" t="s">
        <v>8644</v>
      </c>
      <c r="C4023">
        <v>8800358456557</v>
      </c>
      <c r="D4023">
        <v>340</v>
      </c>
      <c r="E4023">
        <v>0</v>
      </c>
      <c r="F4023">
        <v>0</v>
      </c>
      <c r="G4023">
        <v>0</v>
      </c>
      <c r="H4023">
        <v>340</v>
      </c>
      <c r="I4023" s="183" t="s">
        <v>8996</v>
      </c>
      <c r="J4023" s="183" t="s">
        <v>12048</v>
      </c>
      <c r="K4023">
        <v>0</v>
      </c>
      <c r="L4023">
        <v>340</v>
      </c>
    </row>
    <row r="4024" spans="1:12">
      <c r="A4024" s="183" t="s">
        <v>9019</v>
      </c>
      <c r="B4024" s="183" t="s">
        <v>8644</v>
      </c>
      <c r="C4024">
        <v>8800358456588</v>
      </c>
      <c r="D4024">
        <v>360</v>
      </c>
      <c r="E4024">
        <v>0</v>
      </c>
      <c r="F4024">
        <v>0</v>
      </c>
      <c r="G4024">
        <v>0</v>
      </c>
      <c r="H4024">
        <v>360</v>
      </c>
      <c r="I4024" s="183" t="s">
        <v>8996</v>
      </c>
      <c r="J4024" s="183" t="s">
        <v>12063</v>
      </c>
      <c r="K4024">
        <v>0</v>
      </c>
      <c r="L4024">
        <v>360</v>
      </c>
    </row>
    <row r="4025" spans="1:12">
      <c r="A4025" s="183" t="s">
        <v>574</v>
      </c>
      <c r="B4025" s="183" t="s">
        <v>1001</v>
      </c>
      <c r="C4025">
        <v>33050202</v>
      </c>
      <c r="D4025">
        <v>26</v>
      </c>
      <c r="E4025">
        <v>0</v>
      </c>
      <c r="F4025">
        <v>0</v>
      </c>
      <c r="G4025">
        <v>0</v>
      </c>
      <c r="H4025">
        <v>26</v>
      </c>
      <c r="I4025" s="183" t="s">
        <v>1002</v>
      </c>
      <c r="J4025" s="183" t="s">
        <v>12050</v>
      </c>
      <c r="K4025">
        <v>0</v>
      </c>
      <c r="L4025">
        <v>26</v>
      </c>
    </row>
    <row r="4026" spans="1:12">
      <c r="A4026" s="183" t="s">
        <v>3545</v>
      </c>
      <c r="B4026" s="183" t="s">
        <v>1001</v>
      </c>
      <c r="C4026">
        <v>33050211</v>
      </c>
      <c r="D4026">
        <v>45</v>
      </c>
      <c r="E4026">
        <v>0</v>
      </c>
      <c r="F4026">
        <v>23</v>
      </c>
      <c r="G4026">
        <v>0</v>
      </c>
      <c r="H4026">
        <v>68</v>
      </c>
      <c r="I4026" s="183" t="s">
        <v>1002</v>
      </c>
      <c r="J4026" s="183" t="s">
        <v>12085</v>
      </c>
      <c r="K4026">
        <v>0</v>
      </c>
      <c r="L4026">
        <v>45</v>
      </c>
    </row>
    <row r="4027" spans="1:12">
      <c r="A4027" s="183" t="s">
        <v>747</v>
      </c>
      <c r="B4027" s="183" t="s">
        <v>1001</v>
      </c>
      <c r="C4027">
        <v>33050213</v>
      </c>
      <c r="D4027">
        <v>9</v>
      </c>
      <c r="E4027">
        <v>0</v>
      </c>
      <c r="F4027">
        <v>22</v>
      </c>
      <c r="G4027">
        <v>0</v>
      </c>
      <c r="H4027">
        <v>31</v>
      </c>
      <c r="I4027" s="183" t="s">
        <v>1002</v>
      </c>
      <c r="J4027" s="183" t="s">
        <v>12056</v>
      </c>
      <c r="K4027">
        <v>0</v>
      </c>
      <c r="L4027">
        <v>9</v>
      </c>
    </row>
    <row r="4028" spans="1:12">
      <c r="A4028" s="183" t="s">
        <v>4494</v>
      </c>
      <c r="B4028" s="183" t="s">
        <v>979</v>
      </c>
      <c r="C4028">
        <v>35010200</v>
      </c>
      <c r="D4028">
        <v>31</v>
      </c>
      <c r="E4028">
        <v>0</v>
      </c>
      <c r="F4028">
        <v>2</v>
      </c>
      <c r="G4028">
        <v>0</v>
      </c>
      <c r="H4028">
        <v>33</v>
      </c>
      <c r="I4028" s="183" t="s">
        <v>980</v>
      </c>
      <c r="J4028" s="183" t="s">
        <v>12060</v>
      </c>
      <c r="K4028">
        <v>0</v>
      </c>
      <c r="L4028">
        <v>31</v>
      </c>
    </row>
    <row r="4029" spans="1:12">
      <c r="A4029" s="183" t="s">
        <v>595</v>
      </c>
      <c r="B4029" s="183" t="s">
        <v>979</v>
      </c>
      <c r="C4029">
        <v>35010202</v>
      </c>
      <c r="D4029">
        <v>28</v>
      </c>
      <c r="E4029">
        <v>0</v>
      </c>
      <c r="F4029">
        <v>11</v>
      </c>
      <c r="G4029">
        <v>0</v>
      </c>
      <c r="H4029">
        <v>39</v>
      </c>
      <c r="I4029" s="183" t="s">
        <v>980</v>
      </c>
      <c r="J4029" s="183" t="s">
        <v>12053</v>
      </c>
      <c r="K4029">
        <v>0</v>
      </c>
      <c r="L4029">
        <v>28</v>
      </c>
    </row>
    <row r="4030" spans="1:12">
      <c r="A4030" s="183" t="s">
        <v>598</v>
      </c>
      <c r="B4030" s="183" t="s">
        <v>979</v>
      </c>
      <c r="C4030">
        <v>35010206</v>
      </c>
      <c r="D4030">
        <v>56</v>
      </c>
      <c r="E4030">
        <v>0</v>
      </c>
      <c r="F4030">
        <v>40</v>
      </c>
      <c r="G4030">
        <v>0</v>
      </c>
      <c r="H4030">
        <v>96</v>
      </c>
      <c r="I4030" s="183" t="s">
        <v>980</v>
      </c>
      <c r="J4030" s="183" t="s">
        <v>12059</v>
      </c>
      <c r="K4030">
        <v>0</v>
      </c>
      <c r="L4030">
        <v>56</v>
      </c>
    </row>
    <row r="4031" spans="1:12">
      <c r="A4031" s="183" t="s">
        <v>3689</v>
      </c>
      <c r="B4031" s="183" t="s">
        <v>979</v>
      </c>
      <c r="C4031">
        <v>35010207</v>
      </c>
      <c r="D4031">
        <v>43</v>
      </c>
      <c r="E4031">
        <v>0</v>
      </c>
      <c r="F4031">
        <v>44</v>
      </c>
      <c r="G4031">
        <v>0</v>
      </c>
      <c r="H4031">
        <v>87</v>
      </c>
      <c r="I4031" s="183" t="s">
        <v>980</v>
      </c>
      <c r="J4031" s="183" t="s">
        <v>12091</v>
      </c>
      <c r="K4031">
        <v>0</v>
      </c>
      <c r="L4031">
        <v>43</v>
      </c>
    </row>
    <row r="4032" spans="1:12">
      <c r="A4032" s="183" t="s">
        <v>7530</v>
      </c>
      <c r="B4032" s="183" t="s">
        <v>979</v>
      </c>
      <c r="C4032">
        <v>35010210</v>
      </c>
      <c r="D4032">
        <v>9</v>
      </c>
      <c r="E4032">
        <v>0</v>
      </c>
      <c r="F4032">
        <v>0</v>
      </c>
      <c r="G4032">
        <v>0</v>
      </c>
      <c r="H4032">
        <v>9</v>
      </c>
      <c r="I4032" s="183" t="s">
        <v>980</v>
      </c>
      <c r="J4032" s="183" t="s">
        <v>12059</v>
      </c>
      <c r="K4032">
        <v>0</v>
      </c>
      <c r="L4032">
        <v>9</v>
      </c>
    </row>
    <row r="4033" spans="1:12">
      <c r="A4033" s="183" t="s">
        <v>3549</v>
      </c>
      <c r="B4033" s="183" t="s">
        <v>979</v>
      </c>
      <c r="C4033">
        <v>35010211</v>
      </c>
      <c r="D4033">
        <v>39</v>
      </c>
      <c r="E4033">
        <v>0</v>
      </c>
      <c r="F4033">
        <v>7</v>
      </c>
      <c r="G4033">
        <v>0</v>
      </c>
      <c r="H4033">
        <v>46</v>
      </c>
      <c r="I4033" s="183" t="s">
        <v>980</v>
      </c>
      <c r="J4033" s="183" t="s">
        <v>12052</v>
      </c>
      <c r="K4033">
        <v>0</v>
      </c>
      <c r="L4033">
        <v>39</v>
      </c>
    </row>
    <row r="4034" spans="1:12">
      <c r="A4034" s="183" t="s">
        <v>603</v>
      </c>
      <c r="B4034" s="183" t="s">
        <v>979</v>
      </c>
      <c r="C4034">
        <v>35010224</v>
      </c>
      <c r="D4034">
        <v>156</v>
      </c>
      <c r="E4034">
        <v>0</v>
      </c>
      <c r="F4034">
        <v>15</v>
      </c>
      <c r="G4034">
        <v>0</v>
      </c>
      <c r="H4034">
        <v>171</v>
      </c>
      <c r="I4034" s="183" t="s">
        <v>980</v>
      </c>
      <c r="J4034" s="183" t="s">
        <v>12061</v>
      </c>
      <c r="K4034">
        <v>0</v>
      </c>
      <c r="L4034">
        <v>156</v>
      </c>
    </row>
    <row r="4035" spans="1:12">
      <c r="A4035" s="183" t="s">
        <v>617</v>
      </c>
      <c r="B4035" s="183" t="s">
        <v>1008</v>
      </c>
      <c r="C4035">
        <v>35020208</v>
      </c>
      <c r="D4035">
        <v>78</v>
      </c>
      <c r="E4035">
        <v>0</v>
      </c>
      <c r="F4035">
        <v>43</v>
      </c>
      <c r="G4035">
        <v>0</v>
      </c>
      <c r="H4035">
        <v>121</v>
      </c>
      <c r="I4035" s="183" t="s">
        <v>1009</v>
      </c>
      <c r="J4035" s="183" t="s">
        <v>12063</v>
      </c>
      <c r="K4035">
        <v>0</v>
      </c>
      <c r="L4035">
        <v>78</v>
      </c>
    </row>
    <row r="4036" spans="1:12">
      <c r="A4036" s="183" t="s">
        <v>748</v>
      </c>
      <c r="B4036" s="183" t="s">
        <v>1008</v>
      </c>
      <c r="C4036">
        <v>35020215</v>
      </c>
      <c r="D4036">
        <v>41</v>
      </c>
      <c r="E4036">
        <v>0</v>
      </c>
      <c r="F4036">
        <v>4</v>
      </c>
      <c r="G4036">
        <v>0</v>
      </c>
      <c r="H4036">
        <v>45</v>
      </c>
      <c r="I4036" s="183" t="s">
        <v>1009</v>
      </c>
      <c r="J4036" s="183" t="s">
        <v>12053</v>
      </c>
      <c r="K4036">
        <v>0</v>
      </c>
      <c r="L4036">
        <v>41</v>
      </c>
    </row>
    <row r="4037" spans="1:12">
      <c r="A4037" s="183" t="s">
        <v>632</v>
      </c>
      <c r="B4037" s="183" t="s">
        <v>1008</v>
      </c>
      <c r="C4037">
        <v>35020238</v>
      </c>
      <c r="D4037">
        <v>0</v>
      </c>
      <c r="E4037">
        <v>0</v>
      </c>
      <c r="F4037">
        <v>17</v>
      </c>
      <c r="G4037">
        <v>0</v>
      </c>
      <c r="H4037">
        <v>17</v>
      </c>
      <c r="I4037" s="183" t="s">
        <v>1009</v>
      </c>
      <c r="J4037" s="183" t="s">
        <v>12053</v>
      </c>
      <c r="K4037">
        <v>0</v>
      </c>
      <c r="L4037">
        <v>0</v>
      </c>
    </row>
    <row r="4038" spans="1:12">
      <c r="A4038" s="183" t="s">
        <v>9020</v>
      </c>
      <c r="B4038" s="183" t="s">
        <v>8646</v>
      </c>
      <c r="C4038">
        <v>8800358456670</v>
      </c>
      <c r="D4038">
        <v>340</v>
      </c>
      <c r="E4038">
        <v>0</v>
      </c>
      <c r="F4038">
        <v>0</v>
      </c>
      <c r="G4038">
        <v>0</v>
      </c>
      <c r="H4038">
        <v>340</v>
      </c>
      <c r="I4038" s="183" t="s">
        <v>9000</v>
      </c>
      <c r="J4038" s="183" t="s">
        <v>12095</v>
      </c>
      <c r="K4038">
        <v>0</v>
      </c>
      <c r="L4038">
        <v>340</v>
      </c>
    </row>
    <row r="4039" spans="1:12">
      <c r="A4039" s="183" t="s">
        <v>9021</v>
      </c>
      <c r="B4039" s="183" t="s">
        <v>8646</v>
      </c>
      <c r="C4039">
        <v>8800358456748</v>
      </c>
      <c r="D4039">
        <v>360</v>
      </c>
      <c r="E4039">
        <v>0</v>
      </c>
      <c r="F4039">
        <v>0</v>
      </c>
      <c r="G4039">
        <v>0</v>
      </c>
      <c r="H4039">
        <v>360</v>
      </c>
      <c r="I4039" s="183" t="s">
        <v>9000</v>
      </c>
      <c r="J4039" s="183" t="s">
        <v>12061</v>
      </c>
      <c r="K4039">
        <v>0</v>
      </c>
      <c r="L4039">
        <v>360</v>
      </c>
    </row>
    <row r="4040" spans="1:12">
      <c r="A4040" s="183" t="s">
        <v>9022</v>
      </c>
      <c r="B4040" s="183" t="s">
        <v>8646</v>
      </c>
      <c r="C4040">
        <v>8800358456755</v>
      </c>
      <c r="D4040">
        <v>360</v>
      </c>
      <c r="E4040">
        <v>0</v>
      </c>
      <c r="F4040">
        <v>0</v>
      </c>
      <c r="G4040">
        <v>0</v>
      </c>
      <c r="H4040">
        <v>360</v>
      </c>
      <c r="I4040" s="183" t="s">
        <v>9000</v>
      </c>
      <c r="J4040" s="183" t="s">
        <v>12050</v>
      </c>
      <c r="K4040">
        <v>0</v>
      </c>
      <c r="L4040">
        <v>360</v>
      </c>
    </row>
    <row r="4041" spans="1:12">
      <c r="A4041" s="183" t="s">
        <v>9023</v>
      </c>
      <c r="B4041" s="183" t="s">
        <v>8646</v>
      </c>
      <c r="C4041">
        <v>8800358456816</v>
      </c>
      <c r="D4041">
        <v>360</v>
      </c>
      <c r="E4041">
        <v>0</v>
      </c>
      <c r="F4041">
        <v>0</v>
      </c>
      <c r="G4041">
        <v>0</v>
      </c>
      <c r="H4041">
        <v>360</v>
      </c>
      <c r="I4041" s="183" t="s">
        <v>9000</v>
      </c>
      <c r="J4041" s="183" t="s">
        <v>12095</v>
      </c>
      <c r="K4041">
        <v>0</v>
      </c>
      <c r="L4041">
        <v>360</v>
      </c>
    </row>
    <row r="4042" spans="1:12">
      <c r="A4042" s="183" t="s">
        <v>9024</v>
      </c>
      <c r="B4042" s="183" t="s">
        <v>8646</v>
      </c>
      <c r="C4042">
        <v>8800358456878</v>
      </c>
      <c r="D4042">
        <v>320</v>
      </c>
      <c r="E4042">
        <v>0</v>
      </c>
      <c r="F4042">
        <v>0</v>
      </c>
      <c r="G4042">
        <v>0</v>
      </c>
      <c r="H4042">
        <v>320</v>
      </c>
      <c r="I4042" s="183" t="s">
        <v>9000</v>
      </c>
      <c r="J4042" s="183" t="s">
        <v>12097</v>
      </c>
      <c r="K4042">
        <v>0</v>
      </c>
      <c r="L4042">
        <v>320</v>
      </c>
    </row>
    <row r="4043" spans="1:12">
      <c r="A4043" s="183" t="s">
        <v>9025</v>
      </c>
      <c r="B4043" s="183" t="s">
        <v>8645</v>
      </c>
      <c r="C4043">
        <v>8800358456946</v>
      </c>
      <c r="D4043">
        <v>350</v>
      </c>
      <c r="E4043">
        <v>0</v>
      </c>
      <c r="F4043">
        <v>0</v>
      </c>
      <c r="G4043">
        <v>0</v>
      </c>
      <c r="H4043">
        <v>350</v>
      </c>
      <c r="I4043" s="183" t="s">
        <v>9002</v>
      </c>
      <c r="J4043" s="183" t="s">
        <v>12055</v>
      </c>
      <c r="K4043">
        <v>0</v>
      </c>
      <c r="L4043">
        <v>350</v>
      </c>
    </row>
    <row r="4044" spans="1:12">
      <c r="A4044" s="183" t="s">
        <v>9026</v>
      </c>
      <c r="B4044" s="183" t="s">
        <v>8645</v>
      </c>
      <c r="C4044">
        <v>8800358456953</v>
      </c>
      <c r="D4044">
        <v>481</v>
      </c>
      <c r="E4044">
        <v>0</v>
      </c>
      <c r="F4044">
        <v>0</v>
      </c>
      <c r="G4044">
        <v>0</v>
      </c>
      <c r="H4044">
        <v>481</v>
      </c>
      <c r="I4044" s="183" t="s">
        <v>9002</v>
      </c>
      <c r="J4044" s="183" t="s">
        <v>12095</v>
      </c>
      <c r="K4044">
        <v>0</v>
      </c>
      <c r="L4044">
        <v>481</v>
      </c>
    </row>
    <row r="4045" spans="1:12">
      <c r="A4045" s="183" t="s">
        <v>8833</v>
      </c>
      <c r="B4045" s="183" t="s">
        <v>8648</v>
      </c>
      <c r="C4045">
        <v>8800358457158</v>
      </c>
      <c r="D4045">
        <v>223</v>
      </c>
      <c r="E4045">
        <v>0</v>
      </c>
      <c r="F4045">
        <v>0</v>
      </c>
      <c r="G4045">
        <v>0</v>
      </c>
      <c r="H4045">
        <v>223</v>
      </c>
      <c r="I4045" s="183" t="s">
        <v>8824</v>
      </c>
      <c r="J4045" s="183" t="s">
        <v>12050</v>
      </c>
      <c r="K4045">
        <v>0</v>
      </c>
      <c r="L4045">
        <v>223</v>
      </c>
    </row>
    <row r="4046" spans="1:12">
      <c r="A4046" s="183" t="s">
        <v>8834</v>
      </c>
      <c r="B4046" s="183" t="s">
        <v>8648</v>
      </c>
      <c r="C4046">
        <v>8800358457202</v>
      </c>
      <c r="D4046">
        <v>197</v>
      </c>
      <c r="E4046">
        <v>0</v>
      </c>
      <c r="F4046">
        <v>0</v>
      </c>
      <c r="G4046">
        <v>0</v>
      </c>
      <c r="H4046">
        <v>197</v>
      </c>
      <c r="I4046" s="183" t="s">
        <v>8824</v>
      </c>
      <c r="J4046" s="183" t="s">
        <v>12087</v>
      </c>
      <c r="K4046">
        <v>0</v>
      </c>
      <c r="L4046">
        <v>197</v>
      </c>
    </row>
    <row r="4047" spans="1:12">
      <c r="A4047" s="183" t="s">
        <v>8835</v>
      </c>
      <c r="B4047" s="183" t="s">
        <v>8648</v>
      </c>
      <c r="C4047">
        <v>8800358457271</v>
      </c>
      <c r="D4047">
        <v>207</v>
      </c>
      <c r="E4047">
        <v>0</v>
      </c>
      <c r="F4047">
        <v>0</v>
      </c>
      <c r="G4047">
        <v>0</v>
      </c>
      <c r="H4047">
        <v>207</v>
      </c>
      <c r="I4047" s="183" t="s">
        <v>8824</v>
      </c>
      <c r="J4047" s="183" t="s">
        <v>12087</v>
      </c>
      <c r="K4047">
        <v>0</v>
      </c>
      <c r="L4047">
        <v>207</v>
      </c>
    </row>
    <row r="4048" spans="1:12">
      <c r="A4048" s="183" t="s">
        <v>8662</v>
      </c>
      <c r="B4048" s="183" t="s">
        <v>8648</v>
      </c>
      <c r="C4048">
        <v>8800358457400</v>
      </c>
      <c r="D4048">
        <v>291</v>
      </c>
      <c r="E4048">
        <v>0</v>
      </c>
      <c r="F4048">
        <v>0</v>
      </c>
      <c r="G4048">
        <v>0</v>
      </c>
      <c r="H4048">
        <v>291</v>
      </c>
      <c r="I4048" s="183" t="s">
        <v>8649</v>
      </c>
      <c r="J4048" s="183" t="s">
        <v>12087</v>
      </c>
      <c r="K4048">
        <v>0</v>
      </c>
      <c r="L4048">
        <v>291</v>
      </c>
    </row>
    <row r="4049" spans="1:12">
      <c r="A4049" s="183" t="s">
        <v>8670</v>
      </c>
      <c r="B4049" s="183" t="s">
        <v>8648</v>
      </c>
      <c r="C4049">
        <v>8800358457516</v>
      </c>
      <c r="D4049">
        <v>267</v>
      </c>
      <c r="E4049">
        <v>0</v>
      </c>
      <c r="F4049">
        <v>0</v>
      </c>
      <c r="G4049">
        <v>0</v>
      </c>
      <c r="H4049">
        <v>267</v>
      </c>
      <c r="I4049" s="183" t="s">
        <v>8649</v>
      </c>
      <c r="J4049" s="183" t="s">
        <v>12066</v>
      </c>
      <c r="K4049">
        <v>0</v>
      </c>
      <c r="L4049">
        <v>267</v>
      </c>
    </row>
    <row r="4050" spans="1:12">
      <c r="A4050" s="183" t="s">
        <v>8666</v>
      </c>
      <c r="B4050" s="183" t="s">
        <v>8648</v>
      </c>
      <c r="C4050">
        <v>8800358457530</v>
      </c>
      <c r="D4050">
        <v>257</v>
      </c>
      <c r="E4050">
        <v>0</v>
      </c>
      <c r="F4050">
        <v>0</v>
      </c>
      <c r="G4050">
        <v>0</v>
      </c>
      <c r="H4050">
        <v>257</v>
      </c>
      <c r="I4050" s="183" t="s">
        <v>8649</v>
      </c>
      <c r="J4050" s="183" t="s">
        <v>12095</v>
      </c>
      <c r="K4050">
        <v>0</v>
      </c>
      <c r="L4050">
        <v>257</v>
      </c>
    </row>
    <row r="4051" spans="1:12">
      <c r="A4051" s="183" t="s">
        <v>8663</v>
      </c>
      <c r="B4051" s="183" t="s">
        <v>8648</v>
      </c>
      <c r="C4051">
        <v>8800358457547</v>
      </c>
      <c r="D4051">
        <v>263</v>
      </c>
      <c r="E4051">
        <v>0</v>
      </c>
      <c r="F4051">
        <v>0</v>
      </c>
      <c r="G4051">
        <v>0</v>
      </c>
      <c r="H4051">
        <v>263</v>
      </c>
      <c r="I4051" s="183" t="s">
        <v>8649</v>
      </c>
      <c r="J4051" s="183" t="s">
        <v>12048</v>
      </c>
      <c r="K4051">
        <v>0</v>
      </c>
      <c r="L4051">
        <v>263</v>
      </c>
    </row>
    <row r="4052" spans="1:12">
      <c r="A4052" s="183" t="s">
        <v>9027</v>
      </c>
      <c r="B4052" s="183" t="s">
        <v>9004</v>
      </c>
      <c r="C4052">
        <v>8800358458995</v>
      </c>
      <c r="D4052">
        <v>200</v>
      </c>
      <c r="E4052">
        <v>0</v>
      </c>
      <c r="F4052">
        <v>0</v>
      </c>
      <c r="G4052">
        <v>0</v>
      </c>
      <c r="H4052">
        <v>200</v>
      </c>
      <c r="I4052" s="183" t="s">
        <v>9005</v>
      </c>
      <c r="J4052" s="183" t="s">
        <v>12048</v>
      </c>
      <c r="K4052">
        <v>0</v>
      </c>
      <c r="L4052">
        <v>200</v>
      </c>
    </row>
    <row r="4053" spans="1:12">
      <c r="A4053" s="183" t="s">
        <v>9028</v>
      </c>
      <c r="B4053" s="183" t="s">
        <v>9004</v>
      </c>
      <c r="C4053">
        <v>8800358459053</v>
      </c>
      <c r="D4053">
        <v>130</v>
      </c>
      <c r="E4053">
        <v>0</v>
      </c>
      <c r="F4053">
        <v>0</v>
      </c>
      <c r="G4053">
        <v>0</v>
      </c>
      <c r="H4053">
        <v>130</v>
      </c>
      <c r="I4053" s="183" t="s">
        <v>9005</v>
      </c>
      <c r="J4053" s="183" t="s">
        <v>12087</v>
      </c>
      <c r="K4053">
        <v>0</v>
      </c>
      <c r="L4053">
        <v>130</v>
      </c>
    </row>
    <row r="4054" spans="1:12">
      <c r="A4054" s="183" t="s">
        <v>9029</v>
      </c>
      <c r="B4054" s="183" t="s">
        <v>9004</v>
      </c>
      <c r="C4054">
        <v>8800358459060</v>
      </c>
      <c r="D4054">
        <v>130</v>
      </c>
      <c r="E4054">
        <v>0</v>
      </c>
      <c r="F4054">
        <v>0</v>
      </c>
      <c r="G4054">
        <v>0</v>
      </c>
      <c r="H4054">
        <v>130</v>
      </c>
      <c r="I4054" s="183" t="s">
        <v>9005</v>
      </c>
      <c r="J4054" s="183" t="s">
        <v>12063</v>
      </c>
      <c r="K4054">
        <v>0</v>
      </c>
      <c r="L4054">
        <v>130</v>
      </c>
    </row>
    <row r="4055" spans="1:12">
      <c r="A4055" s="183" t="s">
        <v>9030</v>
      </c>
      <c r="B4055" s="183" t="s">
        <v>9004</v>
      </c>
      <c r="C4055">
        <v>8800358459145</v>
      </c>
      <c r="D4055">
        <v>130</v>
      </c>
      <c r="E4055">
        <v>0</v>
      </c>
      <c r="F4055">
        <v>0</v>
      </c>
      <c r="G4055">
        <v>0</v>
      </c>
      <c r="H4055">
        <v>130</v>
      </c>
      <c r="I4055" s="183" t="s">
        <v>9005</v>
      </c>
      <c r="J4055" s="183" t="s">
        <v>12095</v>
      </c>
      <c r="K4055">
        <v>0</v>
      </c>
      <c r="L4055">
        <v>130</v>
      </c>
    </row>
    <row r="4056" spans="1:12">
      <c r="A4056" s="183" t="s">
        <v>9031</v>
      </c>
      <c r="B4056" s="183" t="s">
        <v>9004</v>
      </c>
      <c r="C4056">
        <v>8800358459176</v>
      </c>
      <c r="D4056">
        <v>130</v>
      </c>
      <c r="E4056">
        <v>0</v>
      </c>
      <c r="F4056">
        <v>0</v>
      </c>
      <c r="G4056">
        <v>0</v>
      </c>
      <c r="H4056">
        <v>130</v>
      </c>
      <c r="I4056" s="183" t="s">
        <v>9005</v>
      </c>
      <c r="J4056" s="183" t="s">
        <v>12063</v>
      </c>
      <c r="K4056">
        <v>0</v>
      </c>
      <c r="L4056">
        <v>130</v>
      </c>
    </row>
    <row r="4057" spans="1:12">
      <c r="A4057" s="183" t="s">
        <v>9032</v>
      </c>
      <c r="B4057" s="183" t="s">
        <v>9008</v>
      </c>
      <c r="C4057">
        <v>8800358459268</v>
      </c>
      <c r="D4057">
        <v>130</v>
      </c>
      <c r="E4057">
        <v>0</v>
      </c>
      <c r="F4057">
        <v>0</v>
      </c>
      <c r="G4057">
        <v>0</v>
      </c>
      <c r="H4057">
        <v>130</v>
      </c>
      <c r="I4057" s="183" t="s">
        <v>9009</v>
      </c>
      <c r="J4057" s="183" t="s">
        <v>12050</v>
      </c>
      <c r="K4057">
        <v>0</v>
      </c>
      <c r="L4057">
        <v>130</v>
      </c>
    </row>
    <row r="4058" spans="1:12">
      <c r="A4058" s="183" t="s">
        <v>9033</v>
      </c>
      <c r="B4058" s="183" t="s">
        <v>9008</v>
      </c>
      <c r="C4058">
        <v>8800358459428</v>
      </c>
      <c r="D4058">
        <v>130</v>
      </c>
      <c r="E4058">
        <v>0</v>
      </c>
      <c r="F4058">
        <v>0</v>
      </c>
      <c r="G4058">
        <v>0</v>
      </c>
      <c r="H4058">
        <v>130</v>
      </c>
      <c r="I4058" s="183" t="s">
        <v>9009</v>
      </c>
      <c r="J4058" s="183" t="s">
        <v>12095</v>
      </c>
      <c r="K4058">
        <v>0</v>
      </c>
      <c r="L4058">
        <v>130</v>
      </c>
    </row>
    <row r="4059" spans="1:12">
      <c r="A4059" s="183" t="s">
        <v>9034</v>
      </c>
      <c r="B4059" s="183" t="s">
        <v>9008</v>
      </c>
      <c r="C4059">
        <v>8800358459435</v>
      </c>
      <c r="D4059">
        <v>130</v>
      </c>
      <c r="E4059">
        <v>0</v>
      </c>
      <c r="F4059">
        <v>0</v>
      </c>
      <c r="G4059">
        <v>0</v>
      </c>
      <c r="H4059">
        <v>130</v>
      </c>
      <c r="I4059" s="183" t="s">
        <v>9009</v>
      </c>
      <c r="J4059" s="183" t="s">
        <v>12055</v>
      </c>
      <c r="K4059">
        <v>0</v>
      </c>
      <c r="L4059">
        <v>130</v>
      </c>
    </row>
    <row r="4060" spans="1:12">
      <c r="A4060" s="183" t="s">
        <v>959</v>
      </c>
      <c r="B4060" s="183" t="s">
        <v>927</v>
      </c>
      <c r="C4060">
        <v>8809867717371</v>
      </c>
      <c r="D4060">
        <v>726</v>
      </c>
      <c r="E4060">
        <v>0</v>
      </c>
      <c r="F4060">
        <v>0</v>
      </c>
      <c r="G4060">
        <v>0</v>
      </c>
      <c r="H4060">
        <v>726</v>
      </c>
      <c r="I4060" s="183" t="s">
        <v>1021</v>
      </c>
      <c r="J4060" s="183" t="s">
        <v>12095</v>
      </c>
      <c r="K4060">
        <v>0</v>
      </c>
      <c r="L4060">
        <v>726</v>
      </c>
    </row>
    <row r="4061" spans="1:12">
      <c r="A4061" s="183" t="s">
        <v>961</v>
      </c>
      <c r="B4061" s="183" t="s">
        <v>927</v>
      </c>
      <c r="C4061">
        <v>8809867717432</v>
      </c>
      <c r="D4061" s="501">
        <v>1198</v>
      </c>
      <c r="E4061">
        <v>0</v>
      </c>
      <c r="F4061">
        <v>0</v>
      </c>
      <c r="G4061">
        <v>0</v>
      </c>
      <c r="H4061" s="501">
        <v>1198</v>
      </c>
      <c r="I4061" s="183" t="s">
        <v>1021</v>
      </c>
      <c r="J4061" s="183" t="s">
        <v>12085</v>
      </c>
      <c r="K4061">
        <v>0</v>
      </c>
      <c r="L4061" s="501">
        <v>1198</v>
      </c>
    </row>
    <row r="4062" spans="1:12">
      <c r="A4062" s="183" t="s">
        <v>963</v>
      </c>
      <c r="B4062" s="183" t="s">
        <v>927</v>
      </c>
      <c r="C4062">
        <v>8809867717494</v>
      </c>
      <c r="D4062">
        <v>807</v>
      </c>
      <c r="E4062">
        <v>0</v>
      </c>
      <c r="F4062">
        <v>0</v>
      </c>
      <c r="G4062">
        <v>0</v>
      </c>
      <c r="H4062">
        <v>807</v>
      </c>
      <c r="I4062" s="183" t="s">
        <v>1021</v>
      </c>
      <c r="J4062" s="183" t="s">
        <v>12063</v>
      </c>
      <c r="K4062">
        <v>0</v>
      </c>
      <c r="L4062">
        <v>807</v>
      </c>
    </row>
    <row r="4063" spans="1:12">
      <c r="A4063" s="183" t="s">
        <v>939</v>
      </c>
      <c r="B4063" s="183" t="s">
        <v>927</v>
      </c>
      <c r="C4063">
        <v>8809867717517</v>
      </c>
      <c r="D4063">
        <v>794</v>
      </c>
      <c r="E4063">
        <v>0</v>
      </c>
      <c r="F4063">
        <v>0</v>
      </c>
      <c r="G4063">
        <v>0</v>
      </c>
      <c r="H4063">
        <v>794</v>
      </c>
      <c r="I4063" s="183" t="s">
        <v>1021</v>
      </c>
      <c r="J4063" s="183" t="s">
        <v>12095</v>
      </c>
      <c r="K4063">
        <v>0</v>
      </c>
      <c r="L4063">
        <v>794</v>
      </c>
    </row>
    <row r="4064" spans="1:12">
      <c r="A4064" s="183" t="s">
        <v>941</v>
      </c>
      <c r="B4064" s="183" t="s">
        <v>927</v>
      </c>
      <c r="C4064">
        <v>8809867717579</v>
      </c>
      <c r="D4064" s="501">
        <v>1666</v>
      </c>
      <c r="E4064">
        <v>0</v>
      </c>
      <c r="F4064">
        <v>0</v>
      </c>
      <c r="G4064">
        <v>0</v>
      </c>
      <c r="H4064" s="501">
        <v>1666</v>
      </c>
      <c r="I4064" s="183" t="s">
        <v>1021</v>
      </c>
      <c r="J4064" s="183" t="s">
        <v>12093</v>
      </c>
      <c r="K4064">
        <v>0</v>
      </c>
      <c r="L4064" s="501">
        <v>1666</v>
      </c>
    </row>
    <row r="4065" spans="1:12">
      <c r="A4065" s="183" t="s">
        <v>946</v>
      </c>
      <c r="B4065" s="183" t="s">
        <v>927</v>
      </c>
      <c r="C4065">
        <v>8809867717722</v>
      </c>
      <c r="D4065" s="501">
        <v>1162</v>
      </c>
      <c r="E4065">
        <v>0</v>
      </c>
      <c r="F4065">
        <v>0</v>
      </c>
      <c r="G4065">
        <v>0</v>
      </c>
      <c r="H4065" s="501">
        <v>1162</v>
      </c>
      <c r="I4065" s="183" t="s">
        <v>1021</v>
      </c>
      <c r="J4065" s="183" t="s">
        <v>12095</v>
      </c>
      <c r="K4065">
        <v>0</v>
      </c>
      <c r="L4065" s="501">
        <v>1162</v>
      </c>
    </row>
    <row r="4066" spans="1:12">
      <c r="A4066" s="183" t="s">
        <v>3774</v>
      </c>
      <c r="B4066" s="183" t="s">
        <v>927</v>
      </c>
      <c r="C4066">
        <v>8809867717760</v>
      </c>
      <c r="D4066">
        <v>561</v>
      </c>
      <c r="E4066">
        <v>0</v>
      </c>
      <c r="F4066">
        <v>0</v>
      </c>
      <c r="G4066">
        <v>0</v>
      </c>
      <c r="H4066">
        <v>561</v>
      </c>
      <c r="I4066" s="183" t="s">
        <v>1021</v>
      </c>
      <c r="J4066" s="183" t="s">
        <v>12081</v>
      </c>
      <c r="K4066">
        <v>0</v>
      </c>
      <c r="L4066">
        <v>561</v>
      </c>
    </row>
    <row r="4067" spans="1:12">
      <c r="A4067" s="183" t="s">
        <v>3859</v>
      </c>
      <c r="B4067" s="183" t="s">
        <v>927</v>
      </c>
      <c r="C4067">
        <v>8809867717821</v>
      </c>
      <c r="D4067">
        <v>417</v>
      </c>
      <c r="E4067">
        <v>0</v>
      </c>
      <c r="F4067">
        <v>0</v>
      </c>
      <c r="G4067">
        <v>0</v>
      </c>
      <c r="H4067">
        <v>417</v>
      </c>
      <c r="I4067" s="183" t="s">
        <v>1021</v>
      </c>
      <c r="J4067" s="183" t="s">
        <v>12094</v>
      </c>
      <c r="K4067">
        <v>0</v>
      </c>
      <c r="L4067">
        <v>417</v>
      </c>
    </row>
    <row r="4068" spans="1:12">
      <c r="A4068" s="183" t="s">
        <v>950</v>
      </c>
      <c r="B4068" s="183" t="s">
        <v>927</v>
      </c>
      <c r="C4068">
        <v>8809867717845</v>
      </c>
      <c r="D4068" s="501">
        <v>1776</v>
      </c>
      <c r="E4068">
        <v>0</v>
      </c>
      <c r="F4068">
        <v>0</v>
      </c>
      <c r="G4068">
        <v>0</v>
      </c>
      <c r="H4068" s="501">
        <v>1776</v>
      </c>
      <c r="I4068" s="183" t="s">
        <v>1021</v>
      </c>
      <c r="J4068" s="183" t="s">
        <v>12067</v>
      </c>
      <c r="K4068">
        <v>0</v>
      </c>
      <c r="L4068" s="501">
        <v>1776</v>
      </c>
    </row>
    <row r="4069" spans="1:12">
      <c r="A4069" s="183" t="s">
        <v>952</v>
      </c>
      <c r="B4069" s="183" t="s">
        <v>927</v>
      </c>
      <c r="C4069">
        <v>8809867717906</v>
      </c>
      <c r="D4069">
        <v>528</v>
      </c>
      <c r="E4069">
        <v>0</v>
      </c>
      <c r="F4069">
        <v>0</v>
      </c>
      <c r="G4069">
        <v>0</v>
      </c>
      <c r="H4069">
        <v>528</v>
      </c>
      <c r="I4069" s="183" t="s">
        <v>1021</v>
      </c>
      <c r="J4069" s="183" t="s">
        <v>12053</v>
      </c>
      <c r="K4069">
        <v>0</v>
      </c>
      <c r="L4069">
        <v>528</v>
      </c>
    </row>
    <row r="4070" spans="1:12">
      <c r="A4070" s="183" t="s">
        <v>2974</v>
      </c>
      <c r="B4070" s="183" t="s">
        <v>927</v>
      </c>
      <c r="C4070">
        <v>8809867717913</v>
      </c>
      <c r="D4070">
        <v>206</v>
      </c>
      <c r="E4070">
        <v>0</v>
      </c>
      <c r="F4070">
        <v>0</v>
      </c>
      <c r="G4070">
        <v>0</v>
      </c>
      <c r="H4070">
        <v>206</v>
      </c>
      <c r="I4070" s="183" t="s">
        <v>1021</v>
      </c>
      <c r="J4070" s="183" t="s">
        <v>12053</v>
      </c>
      <c r="K4070">
        <v>0</v>
      </c>
      <c r="L4070">
        <v>206</v>
      </c>
    </row>
    <row r="4071" spans="1:12">
      <c r="A4071" s="183" t="s">
        <v>2322</v>
      </c>
      <c r="B4071" s="183" t="s">
        <v>927</v>
      </c>
      <c r="C4071">
        <v>8809867717937</v>
      </c>
      <c r="D4071">
        <v>183</v>
      </c>
      <c r="E4071">
        <v>0</v>
      </c>
      <c r="F4071">
        <v>0</v>
      </c>
      <c r="G4071">
        <v>0</v>
      </c>
      <c r="H4071">
        <v>183</v>
      </c>
      <c r="I4071" s="183" t="s">
        <v>1021</v>
      </c>
      <c r="J4071" s="183" t="s">
        <v>12085</v>
      </c>
      <c r="K4071">
        <v>0</v>
      </c>
      <c r="L4071">
        <v>183</v>
      </c>
    </row>
    <row r="4072" spans="1:12">
      <c r="A4072" s="183" t="s">
        <v>2968</v>
      </c>
      <c r="B4072" s="183" t="s">
        <v>927</v>
      </c>
      <c r="C4072">
        <v>8809867717944</v>
      </c>
      <c r="D4072">
        <v>9</v>
      </c>
      <c r="E4072">
        <v>0</v>
      </c>
      <c r="F4072">
        <v>0</v>
      </c>
      <c r="G4072">
        <v>0</v>
      </c>
      <c r="H4072">
        <v>9</v>
      </c>
      <c r="I4072" s="183" t="s">
        <v>1021</v>
      </c>
      <c r="J4072" s="183" t="s">
        <v>12092</v>
      </c>
      <c r="K4072">
        <v>0</v>
      </c>
      <c r="L4072">
        <v>9</v>
      </c>
    </row>
    <row r="4073" spans="1:12">
      <c r="A4073" s="183" t="s">
        <v>2973</v>
      </c>
      <c r="B4073" s="183" t="s">
        <v>927</v>
      </c>
      <c r="C4073">
        <v>8809867717975</v>
      </c>
      <c r="D4073">
        <v>16</v>
      </c>
      <c r="E4073">
        <v>0</v>
      </c>
      <c r="F4073">
        <v>0</v>
      </c>
      <c r="G4073">
        <v>0</v>
      </c>
      <c r="H4073">
        <v>16</v>
      </c>
      <c r="I4073" s="183" t="s">
        <v>1021</v>
      </c>
      <c r="J4073" s="183" t="s">
        <v>12060</v>
      </c>
      <c r="K4073">
        <v>0</v>
      </c>
      <c r="L4073">
        <v>16</v>
      </c>
    </row>
    <row r="4074" spans="1:12">
      <c r="A4074" s="183" t="s">
        <v>8440</v>
      </c>
      <c r="B4074" s="183" t="s">
        <v>1006</v>
      </c>
      <c r="C4074">
        <v>8809867704531</v>
      </c>
      <c r="D4074">
        <v>82</v>
      </c>
      <c r="E4074">
        <v>0</v>
      </c>
      <c r="F4074">
        <v>0</v>
      </c>
      <c r="G4074">
        <v>0</v>
      </c>
      <c r="H4074">
        <v>82</v>
      </c>
      <c r="I4074" s="183" t="s">
        <v>1007</v>
      </c>
      <c r="J4074" s="183" t="s">
        <v>12067</v>
      </c>
      <c r="K4074">
        <v>0</v>
      </c>
      <c r="L4074">
        <v>82</v>
      </c>
    </row>
    <row r="4075" spans="1:12">
      <c r="A4075" s="183" t="s">
        <v>1266</v>
      </c>
      <c r="B4075" s="183" t="s">
        <v>1006</v>
      </c>
      <c r="C4075">
        <v>8809867704685</v>
      </c>
      <c r="D4075">
        <v>66</v>
      </c>
      <c r="E4075">
        <v>0</v>
      </c>
      <c r="F4075">
        <v>0</v>
      </c>
      <c r="G4075">
        <v>0</v>
      </c>
      <c r="H4075">
        <v>66</v>
      </c>
      <c r="I4075" s="183" t="s">
        <v>1007</v>
      </c>
      <c r="J4075" s="183" t="s">
        <v>12091</v>
      </c>
      <c r="K4075">
        <v>0</v>
      </c>
      <c r="L4075">
        <v>66</v>
      </c>
    </row>
    <row r="4076" spans="1:12">
      <c r="A4076" s="183" t="s">
        <v>1155</v>
      </c>
      <c r="B4076" s="183" t="s">
        <v>1006</v>
      </c>
      <c r="C4076">
        <v>8809867704760</v>
      </c>
      <c r="D4076">
        <v>128</v>
      </c>
      <c r="E4076">
        <v>0</v>
      </c>
      <c r="F4076">
        <v>0</v>
      </c>
      <c r="G4076">
        <v>0</v>
      </c>
      <c r="H4076">
        <v>128</v>
      </c>
      <c r="I4076" s="183" t="s">
        <v>1007</v>
      </c>
      <c r="J4076" s="183" t="s">
        <v>12094</v>
      </c>
      <c r="K4076">
        <v>0</v>
      </c>
      <c r="L4076">
        <v>128</v>
      </c>
    </row>
    <row r="4077" spans="1:12">
      <c r="A4077" s="183" t="s">
        <v>2197</v>
      </c>
      <c r="B4077" s="183" t="s">
        <v>1006</v>
      </c>
      <c r="C4077">
        <v>8809867704777</v>
      </c>
      <c r="D4077">
        <v>164</v>
      </c>
      <c r="E4077">
        <v>0</v>
      </c>
      <c r="F4077">
        <v>0</v>
      </c>
      <c r="G4077">
        <v>0</v>
      </c>
      <c r="H4077">
        <v>164</v>
      </c>
      <c r="I4077" s="183" t="s">
        <v>1007</v>
      </c>
      <c r="J4077" s="183" t="s">
        <v>12081</v>
      </c>
      <c r="K4077">
        <v>0</v>
      </c>
      <c r="L4077">
        <v>164</v>
      </c>
    </row>
    <row r="4078" spans="1:12">
      <c r="A4078" s="183" t="s">
        <v>1263</v>
      </c>
      <c r="B4078" s="183" t="s">
        <v>1042</v>
      </c>
      <c r="C4078">
        <v>8809867704913</v>
      </c>
      <c r="D4078">
        <v>159</v>
      </c>
      <c r="E4078">
        <v>0</v>
      </c>
      <c r="F4078">
        <v>0</v>
      </c>
      <c r="G4078">
        <v>0</v>
      </c>
      <c r="H4078">
        <v>159</v>
      </c>
      <c r="I4078" s="183" t="s">
        <v>1043</v>
      </c>
      <c r="J4078" s="183" t="s">
        <v>12059</v>
      </c>
      <c r="K4078">
        <v>0</v>
      </c>
      <c r="L4078">
        <v>159</v>
      </c>
    </row>
    <row r="4079" spans="1:12">
      <c r="A4079" s="183" t="s">
        <v>1517</v>
      </c>
      <c r="B4079" s="183" t="s">
        <v>1042</v>
      </c>
      <c r="C4079">
        <v>8809867705002</v>
      </c>
      <c r="D4079">
        <v>125</v>
      </c>
      <c r="E4079">
        <v>0</v>
      </c>
      <c r="F4079">
        <v>0</v>
      </c>
      <c r="G4079">
        <v>0</v>
      </c>
      <c r="H4079">
        <v>125</v>
      </c>
      <c r="I4079" s="183" t="s">
        <v>1043</v>
      </c>
      <c r="J4079" s="183" t="s">
        <v>12059</v>
      </c>
      <c r="K4079">
        <v>0</v>
      </c>
      <c r="L4079">
        <v>125</v>
      </c>
    </row>
    <row r="4080" spans="1:12">
      <c r="A4080" s="183" t="s">
        <v>2330</v>
      </c>
      <c r="B4080" s="183" t="s">
        <v>1178</v>
      </c>
      <c r="C4080">
        <v>8809867705200</v>
      </c>
      <c r="D4080">
        <v>74</v>
      </c>
      <c r="E4080">
        <v>0</v>
      </c>
      <c r="F4080">
        <v>0</v>
      </c>
      <c r="G4080">
        <v>0</v>
      </c>
      <c r="H4080">
        <v>74</v>
      </c>
      <c r="I4080" s="183" t="s">
        <v>1179</v>
      </c>
      <c r="J4080" s="183" t="s">
        <v>12060</v>
      </c>
      <c r="K4080">
        <v>0</v>
      </c>
      <c r="L4080">
        <v>74</v>
      </c>
    </row>
    <row r="4081" spans="1:12">
      <c r="A4081" s="183" t="s">
        <v>2187</v>
      </c>
      <c r="B4081" s="183" t="s">
        <v>1420</v>
      </c>
      <c r="C4081">
        <v>8809867705347</v>
      </c>
      <c r="D4081">
        <v>178</v>
      </c>
      <c r="E4081">
        <v>0</v>
      </c>
      <c r="F4081">
        <v>0</v>
      </c>
      <c r="G4081">
        <v>0</v>
      </c>
      <c r="H4081">
        <v>178</v>
      </c>
      <c r="I4081" s="183" t="s">
        <v>1421</v>
      </c>
      <c r="J4081" s="183" t="s">
        <v>12081</v>
      </c>
      <c r="K4081">
        <v>0</v>
      </c>
      <c r="L4081">
        <v>178</v>
      </c>
    </row>
    <row r="4082" spans="1:12">
      <c r="A4082" s="183" t="s">
        <v>2006</v>
      </c>
      <c r="B4082" s="183" t="s">
        <v>1420</v>
      </c>
      <c r="C4082">
        <v>8809867705378</v>
      </c>
      <c r="D4082">
        <v>77</v>
      </c>
      <c r="E4082">
        <v>0</v>
      </c>
      <c r="F4082">
        <v>0</v>
      </c>
      <c r="G4082">
        <v>0</v>
      </c>
      <c r="H4082">
        <v>77</v>
      </c>
      <c r="I4082" s="183" t="s">
        <v>1421</v>
      </c>
      <c r="J4082" s="183" t="s">
        <v>12092</v>
      </c>
      <c r="K4082">
        <v>0</v>
      </c>
      <c r="L4082">
        <v>77</v>
      </c>
    </row>
    <row r="4083" spans="1:12">
      <c r="A4083" s="183" t="s">
        <v>1684</v>
      </c>
      <c r="B4083" s="183" t="s">
        <v>1420</v>
      </c>
      <c r="C4083">
        <v>8809867705460</v>
      </c>
      <c r="D4083">
        <v>191</v>
      </c>
      <c r="E4083">
        <v>0</v>
      </c>
      <c r="F4083">
        <v>0</v>
      </c>
      <c r="G4083">
        <v>0</v>
      </c>
      <c r="H4083">
        <v>191</v>
      </c>
      <c r="I4083" s="183" t="s">
        <v>1421</v>
      </c>
      <c r="J4083" s="183" t="s">
        <v>12087</v>
      </c>
      <c r="K4083">
        <v>0</v>
      </c>
      <c r="L4083">
        <v>191</v>
      </c>
    </row>
    <row r="4084" spans="1:12">
      <c r="A4084" s="183" t="s">
        <v>2014</v>
      </c>
      <c r="B4084" s="183" t="s">
        <v>1420</v>
      </c>
      <c r="C4084">
        <v>8809867705514</v>
      </c>
      <c r="D4084">
        <v>120</v>
      </c>
      <c r="E4084">
        <v>0</v>
      </c>
      <c r="F4084">
        <v>0</v>
      </c>
      <c r="G4084">
        <v>0</v>
      </c>
      <c r="H4084">
        <v>120</v>
      </c>
      <c r="I4084" s="183" t="s">
        <v>1421</v>
      </c>
      <c r="J4084" s="183" t="s">
        <v>12048</v>
      </c>
      <c r="K4084">
        <v>0</v>
      </c>
      <c r="L4084">
        <v>120</v>
      </c>
    </row>
    <row r="4085" spans="1:12">
      <c r="A4085" s="183" t="s">
        <v>3301</v>
      </c>
      <c r="B4085" s="183" t="s">
        <v>3302</v>
      </c>
      <c r="C4085">
        <v>8809959703923</v>
      </c>
      <c r="D4085">
        <v>85</v>
      </c>
      <c r="E4085">
        <v>0</v>
      </c>
      <c r="F4085">
        <v>0</v>
      </c>
      <c r="G4085">
        <v>0</v>
      </c>
      <c r="H4085">
        <v>85</v>
      </c>
      <c r="I4085" s="183" t="s">
        <v>3278</v>
      </c>
      <c r="J4085" s="183" t="s">
        <v>12067</v>
      </c>
      <c r="K4085">
        <v>0</v>
      </c>
      <c r="L4085">
        <v>85</v>
      </c>
    </row>
    <row r="4086" spans="1:12">
      <c r="A4086" s="183" t="s">
        <v>3321</v>
      </c>
      <c r="B4086" s="183" t="s">
        <v>3322</v>
      </c>
      <c r="C4086">
        <v>8809959704074</v>
      </c>
      <c r="D4086">
        <v>461</v>
      </c>
      <c r="E4086">
        <v>0</v>
      </c>
      <c r="F4086">
        <v>0</v>
      </c>
      <c r="G4086">
        <v>0</v>
      </c>
      <c r="H4086">
        <v>461</v>
      </c>
      <c r="I4086" s="183" t="s">
        <v>3278</v>
      </c>
      <c r="J4086" s="183" t="s">
        <v>12059</v>
      </c>
      <c r="K4086">
        <v>0</v>
      </c>
      <c r="L4086">
        <v>461</v>
      </c>
    </row>
    <row r="4087" spans="1:12">
      <c r="A4087" s="183" t="s">
        <v>3281</v>
      </c>
      <c r="B4087" s="183" t="s">
        <v>3282</v>
      </c>
      <c r="C4087">
        <v>8809959704159</v>
      </c>
      <c r="D4087">
        <v>137</v>
      </c>
      <c r="E4087">
        <v>0</v>
      </c>
      <c r="F4087">
        <v>0</v>
      </c>
      <c r="G4087">
        <v>0</v>
      </c>
      <c r="H4087">
        <v>137</v>
      </c>
      <c r="I4087" s="183" t="s">
        <v>3278</v>
      </c>
      <c r="J4087" s="183" t="s">
        <v>12067</v>
      </c>
      <c r="K4087">
        <v>0</v>
      </c>
      <c r="L4087">
        <v>137</v>
      </c>
    </row>
    <row r="4088" spans="1:12">
      <c r="A4088" s="183" t="s">
        <v>5055</v>
      </c>
      <c r="B4088" s="183" t="s">
        <v>5056</v>
      </c>
      <c r="C4088">
        <v>8809959704166</v>
      </c>
      <c r="D4088">
        <v>84</v>
      </c>
      <c r="E4088">
        <v>0</v>
      </c>
      <c r="F4088">
        <v>0</v>
      </c>
      <c r="G4088">
        <v>0</v>
      </c>
      <c r="H4088">
        <v>84</v>
      </c>
      <c r="I4088" s="183" t="s">
        <v>3235</v>
      </c>
      <c r="J4088" s="183" t="s">
        <v>12091</v>
      </c>
      <c r="K4088">
        <v>0</v>
      </c>
      <c r="L4088">
        <v>84</v>
      </c>
    </row>
    <row r="4089" spans="1:12">
      <c r="A4089" s="183" t="s">
        <v>3274</v>
      </c>
      <c r="B4089" s="183" t="s">
        <v>3275</v>
      </c>
      <c r="C4089">
        <v>8809959704272</v>
      </c>
      <c r="D4089">
        <v>82</v>
      </c>
      <c r="E4089">
        <v>0</v>
      </c>
      <c r="F4089">
        <v>0</v>
      </c>
      <c r="G4089">
        <v>0</v>
      </c>
      <c r="H4089">
        <v>82</v>
      </c>
      <c r="I4089" s="183" t="s">
        <v>3235</v>
      </c>
      <c r="J4089" s="183" t="s">
        <v>12093</v>
      </c>
      <c r="K4089">
        <v>0</v>
      </c>
      <c r="L4089">
        <v>82</v>
      </c>
    </row>
    <row r="4090" spans="1:12">
      <c r="A4090" s="183" t="s">
        <v>3260</v>
      </c>
      <c r="B4090" s="183" t="s">
        <v>3261</v>
      </c>
      <c r="C4090">
        <v>8809959704326</v>
      </c>
      <c r="D4090">
        <v>124</v>
      </c>
      <c r="E4090">
        <v>0</v>
      </c>
      <c r="F4090">
        <v>0</v>
      </c>
      <c r="G4090">
        <v>0</v>
      </c>
      <c r="H4090">
        <v>124</v>
      </c>
      <c r="I4090" s="183" t="s">
        <v>3235</v>
      </c>
      <c r="J4090" s="183" t="s">
        <v>12081</v>
      </c>
      <c r="K4090">
        <v>0</v>
      </c>
      <c r="L4090">
        <v>124</v>
      </c>
    </row>
    <row r="4091" spans="1:12">
      <c r="A4091" s="183" t="s">
        <v>3248</v>
      </c>
      <c r="B4091" s="183" t="s">
        <v>3249</v>
      </c>
      <c r="C4091">
        <v>8809959704357</v>
      </c>
      <c r="D4091">
        <v>771</v>
      </c>
      <c r="E4091">
        <v>0</v>
      </c>
      <c r="F4091">
        <v>0</v>
      </c>
      <c r="G4091">
        <v>0</v>
      </c>
      <c r="H4091">
        <v>771</v>
      </c>
      <c r="I4091" s="183" t="s">
        <v>3235</v>
      </c>
      <c r="J4091" s="183" t="s">
        <v>12081</v>
      </c>
      <c r="K4091">
        <v>0</v>
      </c>
      <c r="L4091">
        <v>771</v>
      </c>
    </row>
    <row r="4092" spans="1:12">
      <c r="A4092" s="183" t="s">
        <v>3250</v>
      </c>
      <c r="B4092" s="183" t="s">
        <v>3251</v>
      </c>
      <c r="C4092">
        <v>8809959704388</v>
      </c>
      <c r="D4092">
        <v>26</v>
      </c>
      <c r="E4092">
        <v>0</v>
      </c>
      <c r="F4092">
        <v>0</v>
      </c>
      <c r="G4092">
        <v>0</v>
      </c>
      <c r="H4092">
        <v>26</v>
      </c>
      <c r="I4092" s="183" t="s">
        <v>3235</v>
      </c>
      <c r="J4092" s="183" t="s">
        <v>12067</v>
      </c>
      <c r="K4092">
        <v>0</v>
      </c>
      <c r="L4092">
        <v>26</v>
      </c>
    </row>
    <row r="4093" spans="1:12">
      <c r="A4093" s="183" t="s">
        <v>3236</v>
      </c>
      <c r="B4093" s="183" t="s">
        <v>3237</v>
      </c>
      <c r="C4093">
        <v>8809959704425</v>
      </c>
      <c r="D4093">
        <v>54</v>
      </c>
      <c r="E4093">
        <v>0</v>
      </c>
      <c r="F4093">
        <v>0</v>
      </c>
      <c r="G4093">
        <v>0</v>
      </c>
      <c r="H4093">
        <v>54</v>
      </c>
      <c r="I4093" s="183" t="s">
        <v>3235</v>
      </c>
      <c r="J4093" s="183" t="s">
        <v>12059</v>
      </c>
      <c r="K4093">
        <v>0</v>
      </c>
      <c r="L4093">
        <v>54</v>
      </c>
    </row>
    <row r="4094" spans="1:12">
      <c r="A4094" s="183" t="s">
        <v>1157</v>
      </c>
      <c r="B4094" s="183" t="s">
        <v>982</v>
      </c>
      <c r="C4094">
        <v>18800200</v>
      </c>
      <c r="D4094">
        <v>956</v>
      </c>
      <c r="E4094">
        <v>0</v>
      </c>
      <c r="F4094">
        <v>0</v>
      </c>
      <c r="G4094">
        <v>0</v>
      </c>
      <c r="H4094">
        <v>956</v>
      </c>
      <c r="I4094" s="183" t="s">
        <v>983</v>
      </c>
      <c r="J4094" s="183" t="s">
        <v>12091</v>
      </c>
      <c r="K4094">
        <v>0</v>
      </c>
      <c r="L4094">
        <v>956</v>
      </c>
    </row>
    <row r="4095" spans="1:12">
      <c r="A4095" s="183" t="s">
        <v>1265</v>
      </c>
      <c r="B4095" s="183" t="s">
        <v>982</v>
      </c>
      <c r="C4095">
        <v>18800213</v>
      </c>
      <c r="D4095">
        <v>906</v>
      </c>
      <c r="E4095">
        <v>0</v>
      </c>
      <c r="F4095">
        <v>0</v>
      </c>
      <c r="G4095">
        <v>0</v>
      </c>
      <c r="H4095">
        <v>906</v>
      </c>
      <c r="I4095" s="183" t="s">
        <v>983</v>
      </c>
      <c r="J4095" s="183" t="s">
        <v>12081</v>
      </c>
      <c r="K4095">
        <v>0</v>
      </c>
      <c r="L4095">
        <v>906</v>
      </c>
    </row>
    <row r="4096" spans="1:12">
      <c r="A4096" s="183" t="s">
        <v>1088</v>
      </c>
      <c r="B4096" s="183" t="s">
        <v>982</v>
      </c>
      <c r="C4096">
        <v>18800216</v>
      </c>
      <c r="D4096" s="501">
        <v>1445</v>
      </c>
      <c r="E4096">
        <v>0</v>
      </c>
      <c r="F4096">
        <v>0</v>
      </c>
      <c r="G4096">
        <v>0</v>
      </c>
      <c r="H4096" s="501">
        <v>1445</v>
      </c>
      <c r="I4096" s="183" t="s">
        <v>983</v>
      </c>
      <c r="J4096" s="183" t="s">
        <v>12087</v>
      </c>
      <c r="K4096">
        <v>0</v>
      </c>
      <c r="L4096" s="501">
        <v>1445</v>
      </c>
    </row>
    <row r="4097" spans="1:12">
      <c r="A4097" s="183" t="s">
        <v>1349</v>
      </c>
      <c r="B4097" s="183" t="s">
        <v>982</v>
      </c>
      <c r="C4097">
        <v>18800234</v>
      </c>
      <c r="D4097" s="501">
        <v>1503</v>
      </c>
      <c r="E4097">
        <v>0</v>
      </c>
      <c r="F4097">
        <v>0</v>
      </c>
      <c r="G4097">
        <v>0</v>
      </c>
      <c r="H4097" s="501">
        <v>1503</v>
      </c>
      <c r="I4097" s="183" t="s">
        <v>983</v>
      </c>
      <c r="J4097" s="183" t="s">
        <v>12081</v>
      </c>
      <c r="K4097">
        <v>0</v>
      </c>
      <c r="L4097" s="501">
        <v>1503</v>
      </c>
    </row>
    <row r="4098" spans="1:12">
      <c r="A4098" s="183" t="s">
        <v>1352</v>
      </c>
      <c r="B4098" s="183" t="s">
        <v>982</v>
      </c>
      <c r="C4098">
        <v>18800236</v>
      </c>
      <c r="D4098" s="501">
        <v>1390</v>
      </c>
      <c r="E4098">
        <v>0</v>
      </c>
      <c r="F4098">
        <v>0</v>
      </c>
      <c r="G4098">
        <v>0</v>
      </c>
      <c r="H4098" s="501">
        <v>1390</v>
      </c>
      <c r="I4098" s="183" t="s">
        <v>983</v>
      </c>
      <c r="J4098" s="183" t="s">
        <v>12087</v>
      </c>
      <c r="K4098">
        <v>0</v>
      </c>
      <c r="L4098" s="501">
        <v>1390</v>
      </c>
    </row>
    <row r="4099" spans="1:12">
      <c r="A4099" s="183" t="s">
        <v>1090</v>
      </c>
      <c r="B4099" s="183" t="s">
        <v>1035</v>
      </c>
      <c r="C4099">
        <v>18810203</v>
      </c>
      <c r="D4099" s="501">
        <v>1702</v>
      </c>
      <c r="E4099">
        <v>0</v>
      </c>
      <c r="F4099">
        <v>0</v>
      </c>
      <c r="G4099">
        <v>0</v>
      </c>
      <c r="H4099" s="501">
        <v>1702</v>
      </c>
      <c r="I4099" s="183" t="s">
        <v>1036</v>
      </c>
      <c r="J4099" s="183" t="s">
        <v>12093</v>
      </c>
      <c r="K4099">
        <v>0</v>
      </c>
      <c r="L4099" s="501">
        <v>1702</v>
      </c>
    </row>
    <row r="4100" spans="1:12">
      <c r="A4100" s="183" t="s">
        <v>1350</v>
      </c>
      <c r="B4100" s="183" t="s">
        <v>1035</v>
      </c>
      <c r="C4100">
        <v>18810219</v>
      </c>
      <c r="D4100" s="501">
        <v>1992</v>
      </c>
      <c r="E4100">
        <v>0</v>
      </c>
      <c r="F4100">
        <v>0</v>
      </c>
      <c r="G4100">
        <v>0</v>
      </c>
      <c r="H4100" s="501">
        <v>1992</v>
      </c>
      <c r="I4100" s="183" t="s">
        <v>1036</v>
      </c>
      <c r="J4100" s="183" t="s">
        <v>12091</v>
      </c>
      <c r="K4100">
        <v>0</v>
      </c>
      <c r="L4100" s="501">
        <v>1992</v>
      </c>
    </row>
    <row r="4101" spans="1:12">
      <c r="A4101" s="183" t="s">
        <v>1085</v>
      </c>
      <c r="B4101" s="183" t="s">
        <v>1035</v>
      </c>
      <c r="C4101">
        <v>18810222</v>
      </c>
      <c r="D4101" s="501">
        <v>1398</v>
      </c>
      <c r="E4101">
        <v>0</v>
      </c>
      <c r="F4101">
        <v>0</v>
      </c>
      <c r="G4101">
        <v>0</v>
      </c>
      <c r="H4101" s="501">
        <v>1398</v>
      </c>
      <c r="I4101" s="183" t="s">
        <v>1036</v>
      </c>
      <c r="J4101" s="183" t="s">
        <v>12087</v>
      </c>
      <c r="K4101">
        <v>0</v>
      </c>
      <c r="L4101" s="501">
        <v>1398</v>
      </c>
    </row>
    <row r="4102" spans="1:12">
      <c r="A4102" s="183" t="s">
        <v>1260</v>
      </c>
      <c r="B4102" s="183" t="s">
        <v>1035</v>
      </c>
      <c r="C4102">
        <v>18810224</v>
      </c>
      <c r="D4102" s="501">
        <v>1003</v>
      </c>
      <c r="E4102">
        <v>0</v>
      </c>
      <c r="F4102">
        <v>0</v>
      </c>
      <c r="G4102">
        <v>0</v>
      </c>
      <c r="H4102" s="501">
        <v>1003</v>
      </c>
      <c r="I4102" s="183" t="s">
        <v>1036</v>
      </c>
      <c r="J4102" s="183" t="s">
        <v>12094</v>
      </c>
      <c r="K4102">
        <v>0</v>
      </c>
      <c r="L4102" s="501">
        <v>1003</v>
      </c>
    </row>
    <row r="4103" spans="1:12">
      <c r="A4103" s="183" t="s">
        <v>1262</v>
      </c>
      <c r="B4103" s="183" t="s">
        <v>1035</v>
      </c>
      <c r="C4103">
        <v>18810226</v>
      </c>
      <c r="D4103" s="501">
        <v>1317</v>
      </c>
      <c r="E4103">
        <v>0</v>
      </c>
      <c r="F4103">
        <v>0</v>
      </c>
      <c r="G4103">
        <v>0</v>
      </c>
      <c r="H4103" s="501">
        <v>1317</v>
      </c>
      <c r="I4103" s="183" t="s">
        <v>1036</v>
      </c>
      <c r="J4103" s="183" t="s">
        <v>12091</v>
      </c>
      <c r="K4103">
        <v>0</v>
      </c>
      <c r="L4103" s="501">
        <v>1317</v>
      </c>
    </row>
    <row r="4104" spans="1:12">
      <c r="A4104" s="183" t="s">
        <v>1159</v>
      </c>
      <c r="B4104" s="183" t="s">
        <v>1014</v>
      </c>
      <c r="C4104">
        <v>18820204</v>
      </c>
      <c r="D4104">
        <v>237</v>
      </c>
      <c r="E4104">
        <v>0</v>
      </c>
      <c r="F4104">
        <v>0</v>
      </c>
      <c r="G4104">
        <v>0</v>
      </c>
      <c r="H4104">
        <v>237</v>
      </c>
      <c r="I4104" s="183" t="s">
        <v>1015</v>
      </c>
      <c r="J4104" s="183" t="s">
        <v>12093</v>
      </c>
      <c r="K4104">
        <v>0</v>
      </c>
      <c r="L4104">
        <v>237</v>
      </c>
    </row>
    <row r="4105" spans="1:12">
      <c r="A4105" s="183" t="s">
        <v>12020</v>
      </c>
      <c r="B4105" s="183" t="s">
        <v>9013</v>
      </c>
      <c r="C4105">
        <v>8800358459473</v>
      </c>
      <c r="D4105">
        <v>200</v>
      </c>
      <c r="E4105">
        <v>0</v>
      </c>
      <c r="F4105">
        <v>0</v>
      </c>
      <c r="G4105">
        <v>0</v>
      </c>
      <c r="H4105">
        <v>200</v>
      </c>
      <c r="I4105" s="183" t="s">
        <v>9014</v>
      </c>
      <c r="J4105" s="183" t="s">
        <v>12050</v>
      </c>
      <c r="K4105">
        <v>0</v>
      </c>
      <c r="L4105">
        <v>200</v>
      </c>
    </row>
    <row r="4106" spans="1:12">
      <c r="A4106" s="183" t="s">
        <v>12021</v>
      </c>
      <c r="B4106" s="183" t="s">
        <v>9013</v>
      </c>
      <c r="C4106">
        <v>8800358459510</v>
      </c>
      <c r="D4106">
        <v>130</v>
      </c>
      <c r="E4106">
        <v>0</v>
      </c>
      <c r="F4106">
        <v>0</v>
      </c>
      <c r="G4106">
        <v>0</v>
      </c>
      <c r="H4106">
        <v>130</v>
      </c>
      <c r="I4106" s="183" t="s">
        <v>9014</v>
      </c>
      <c r="J4106" s="183" t="s">
        <v>12066</v>
      </c>
      <c r="K4106">
        <v>0</v>
      </c>
      <c r="L4106">
        <v>130</v>
      </c>
    </row>
    <row r="4107" spans="1:12">
      <c r="A4107" s="183" t="s">
        <v>9035</v>
      </c>
      <c r="B4107" s="183" t="s">
        <v>9013</v>
      </c>
      <c r="C4107">
        <v>8800358459695</v>
      </c>
      <c r="D4107">
        <v>130</v>
      </c>
      <c r="E4107">
        <v>0</v>
      </c>
      <c r="F4107">
        <v>0</v>
      </c>
      <c r="G4107">
        <v>0</v>
      </c>
      <c r="H4107">
        <v>130</v>
      </c>
      <c r="I4107" s="183" t="s">
        <v>9014</v>
      </c>
      <c r="J4107" s="183" t="s">
        <v>12097</v>
      </c>
      <c r="K4107">
        <v>0</v>
      </c>
      <c r="L4107">
        <v>130</v>
      </c>
    </row>
    <row r="4108" spans="1:12">
      <c r="A4108" s="183" t="s">
        <v>8782</v>
      </c>
      <c r="B4108" s="183" t="s">
        <v>8776</v>
      </c>
      <c r="C4108">
        <v>8800358459756</v>
      </c>
      <c r="D4108">
        <v>130</v>
      </c>
      <c r="E4108">
        <v>0</v>
      </c>
      <c r="F4108">
        <v>0</v>
      </c>
      <c r="G4108">
        <v>0</v>
      </c>
      <c r="H4108">
        <v>130</v>
      </c>
      <c r="I4108" s="183" t="s">
        <v>8777</v>
      </c>
      <c r="J4108" s="183" t="s">
        <v>12050</v>
      </c>
      <c r="K4108">
        <v>0</v>
      </c>
      <c r="L4108">
        <v>130</v>
      </c>
    </row>
    <row r="4109" spans="1:12">
      <c r="A4109" s="183" t="s">
        <v>8783</v>
      </c>
      <c r="B4109" s="183" t="s">
        <v>8776</v>
      </c>
      <c r="C4109">
        <v>8800358459800</v>
      </c>
      <c r="D4109">
        <v>130</v>
      </c>
      <c r="E4109">
        <v>0</v>
      </c>
      <c r="F4109">
        <v>0</v>
      </c>
      <c r="G4109">
        <v>0</v>
      </c>
      <c r="H4109">
        <v>130</v>
      </c>
      <c r="I4109" s="183" t="s">
        <v>8777</v>
      </c>
      <c r="J4109" s="183" t="s">
        <v>12066</v>
      </c>
      <c r="K4109">
        <v>0</v>
      </c>
      <c r="L4109">
        <v>130</v>
      </c>
    </row>
    <row r="4110" spans="1:12">
      <c r="A4110" s="183" t="s">
        <v>8784</v>
      </c>
      <c r="B4110" s="183" t="s">
        <v>8776</v>
      </c>
      <c r="C4110">
        <v>8800358459947</v>
      </c>
      <c r="D4110">
        <v>130</v>
      </c>
      <c r="E4110">
        <v>0</v>
      </c>
      <c r="F4110">
        <v>0</v>
      </c>
      <c r="G4110">
        <v>0</v>
      </c>
      <c r="H4110">
        <v>130</v>
      </c>
      <c r="I4110" s="183" t="s">
        <v>8777</v>
      </c>
      <c r="J4110" s="183" t="s">
        <v>12048</v>
      </c>
      <c r="K4110">
        <v>0</v>
      </c>
      <c r="L4110">
        <v>130</v>
      </c>
    </row>
    <row r="4111" spans="1:12">
      <c r="A4111" s="183" t="s">
        <v>8945</v>
      </c>
      <c r="B4111" s="183" t="s">
        <v>8927</v>
      </c>
      <c r="C4111">
        <v>8800358459961</v>
      </c>
      <c r="D4111">
        <v>195</v>
      </c>
      <c r="E4111">
        <v>0</v>
      </c>
      <c r="F4111">
        <v>0</v>
      </c>
      <c r="G4111">
        <v>0</v>
      </c>
      <c r="H4111">
        <v>195</v>
      </c>
      <c r="I4111" s="183" t="s">
        <v>8928</v>
      </c>
      <c r="J4111" s="183" t="s">
        <v>12061</v>
      </c>
      <c r="K4111">
        <v>0</v>
      </c>
      <c r="L4111">
        <v>195</v>
      </c>
    </row>
    <row r="4112" spans="1:12">
      <c r="A4112" s="183" t="s">
        <v>8946</v>
      </c>
      <c r="B4112" s="183" t="s">
        <v>8927</v>
      </c>
      <c r="C4112">
        <v>8800358459978</v>
      </c>
      <c r="D4112">
        <v>195</v>
      </c>
      <c r="E4112">
        <v>0</v>
      </c>
      <c r="F4112">
        <v>0</v>
      </c>
      <c r="G4112">
        <v>0</v>
      </c>
      <c r="H4112">
        <v>195</v>
      </c>
      <c r="I4112" s="183" t="s">
        <v>8928</v>
      </c>
      <c r="J4112" s="183" t="s">
        <v>12095</v>
      </c>
      <c r="K4112">
        <v>0</v>
      </c>
      <c r="L4112">
        <v>195</v>
      </c>
    </row>
    <row r="4113" spans="1:12">
      <c r="A4113" s="183" t="s">
        <v>8947</v>
      </c>
      <c r="B4113" s="183" t="s">
        <v>8927</v>
      </c>
      <c r="C4113">
        <v>8800358460066</v>
      </c>
      <c r="D4113">
        <v>135</v>
      </c>
      <c r="E4113">
        <v>0</v>
      </c>
      <c r="F4113">
        <v>0</v>
      </c>
      <c r="G4113">
        <v>0</v>
      </c>
      <c r="H4113">
        <v>135</v>
      </c>
      <c r="I4113" s="183" t="s">
        <v>8928</v>
      </c>
      <c r="J4113" s="183" t="s">
        <v>12057</v>
      </c>
      <c r="K4113">
        <v>0</v>
      </c>
      <c r="L4113">
        <v>135</v>
      </c>
    </row>
    <row r="4114" spans="1:12">
      <c r="A4114" s="183" t="s">
        <v>8948</v>
      </c>
      <c r="B4114" s="183" t="s">
        <v>8927</v>
      </c>
      <c r="C4114">
        <v>8800358460073</v>
      </c>
      <c r="D4114">
        <v>135</v>
      </c>
      <c r="E4114">
        <v>0</v>
      </c>
      <c r="F4114">
        <v>0</v>
      </c>
      <c r="G4114">
        <v>0</v>
      </c>
      <c r="H4114">
        <v>135</v>
      </c>
      <c r="I4114" s="183" t="s">
        <v>8928</v>
      </c>
      <c r="J4114" s="183" t="s">
        <v>12057</v>
      </c>
      <c r="K4114">
        <v>0</v>
      </c>
      <c r="L4114">
        <v>135</v>
      </c>
    </row>
    <row r="4115" spans="1:12">
      <c r="A4115" s="183" t="s">
        <v>8758</v>
      </c>
      <c r="B4115" s="183" t="s">
        <v>8688</v>
      </c>
      <c r="C4115">
        <v>8800358460318</v>
      </c>
      <c r="D4115">
        <v>135</v>
      </c>
      <c r="E4115">
        <v>0</v>
      </c>
      <c r="F4115">
        <v>0</v>
      </c>
      <c r="G4115">
        <v>0</v>
      </c>
      <c r="H4115">
        <v>135</v>
      </c>
      <c r="I4115" s="183" t="s">
        <v>8689</v>
      </c>
      <c r="J4115" s="183" t="s">
        <v>12048</v>
      </c>
      <c r="K4115">
        <v>0</v>
      </c>
      <c r="L4115">
        <v>135</v>
      </c>
    </row>
    <row r="4116" spans="1:12">
      <c r="A4116" s="183" t="s">
        <v>8759</v>
      </c>
      <c r="B4116" s="183" t="s">
        <v>8688</v>
      </c>
      <c r="C4116">
        <v>8800358460325</v>
      </c>
      <c r="D4116">
        <v>135</v>
      </c>
      <c r="E4116">
        <v>0</v>
      </c>
      <c r="F4116">
        <v>0</v>
      </c>
      <c r="G4116">
        <v>0</v>
      </c>
      <c r="H4116">
        <v>135</v>
      </c>
      <c r="I4116" s="183" t="s">
        <v>8689</v>
      </c>
      <c r="J4116" s="183" t="s">
        <v>12055</v>
      </c>
      <c r="K4116">
        <v>0</v>
      </c>
      <c r="L4116">
        <v>135</v>
      </c>
    </row>
    <row r="4117" spans="1:12">
      <c r="A4117" s="183" t="s">
        <v>8760</v>
      </c>
      <c r="B4117" s="183" t="s">
        <v>8688</v>
      </c>
      <c r="C4117">
        <v>8800358460394</v>
      </c>
      <c r="D4117">
        <v>45</v>
      </c>
      <c r="E4117">
        <v>0</v>
      </c>
      <c r="F4117">
        <v>0</v>
      </c>
      <c r="G4117">
        <v>0</v>
      </c>
      <c r="H4117">
        <v>45</v>
      </c>
      <c r="I4117" s="183" t="s">
        <v>8689</v>
      </c>
      <c r="J4117" s="183" t="s">
        <v>12057</v>
      </c>
      <c r="K4117">
        <v>0</v>
      </c>
      <c r="L4117">
        <v>45</v>
      </c>
    </row>
    <row r="4118" spans="1:12">
      <c r="A4118" s="183" t="s">
        <v>8761</v>
      </c>
      <c r="B4118" s="183" t="s">
        <v>8688</v>
      </c>
      <c r="C4118">
        <v>8800358460424</v>
      </c>
      <c r="D4118">
        <v>45</v>
      </c>
      <c r="E4118">
        <v>0</v>
      </c>
      <c r="F4118">
        <v>0</v>
      </c>
      <c r="G4118">
        <v>0</v>
      </c>
      <c r="H4118">
        <v>45</v>
      </c>
      <c r="I4118" s="183" t="s">
        <v>8689</v>
      </c>
      <c r="J4118" s="183" t="s">
        <v>12050</v>
      </c>
      <c r="K4118">
        <v>0</v>
      </c>
      <c r="L4118">
        <v>45</v>
      </c>
    </row>
    <row r="4119" spans="1:12">
      <c r="A4119" s="183" t="s">
        <v>8762</v>
      </c>
      <c r="B4119" s="183" t="s">
        <v>8688</v>
      </c>
      <c r="C4119">
        <v>8800358460448</v>
      </c>
      <c r="D4119">
        <v>45</v>
      </c>
      <c r="E4119">
        <v>0</v>
      </c>
      <c r="F4119">
        <v>0</v>
      </c>
      <c r="G4119">
        <v>0</v>
      </c>
      <c r="H4119">
        <v>45</v>
      </c>
      <c r="I4119" s="183" t="s">
        <v>8689</v>
      </c>
      <c r="J4119" s="183" t="s">
        <v>12055</v>
      </c>
      <c r="K4119">
        <v>0</v>
      </c>
      <c r="L4119">
        <v>45</v>
      </c>
    </row>
    <row r="4120" spans="1:12">
      <c r="A4120" s="183" t="s">
        <v>8763</v>
      </c>
      <c r="B4120" s="183" t="s">
        <v>8688</v>
      </c>
      <c r="C4120">
        <v>8800358460462</v>
      </c>
      <c r="D4120">
        <v>15</v>
      </c>
      <c r="E4120">
        <v>0</v>
      </c>
      <c r="F4120">
        <v>0</v>
      </c>
      <c r="G4120">
        <v>0</v>
      </c>
      <c r="H4120">
        <v>15</v>
      </c>
      <c r="I4120" s="183" t="s">
        <v>8689</v>
      </c>
      <c r="J4120" s="183" t="s">
        <v>12061</v>
      </c>
      <c r="K4120">
        <v>0</v>
      </c>
      <c r="L4120">
        <v>15</v>
      </c>
    </row>
    <row r="4121" spans="1:12">
      <c r="A4121" s="183" t="s">
        <v>8764</v>
      </c>
      <c r="B4121" s="183" t="s">
        <v>8692</v>
      </c>
      <c r="C4121">
        <v>8800358460530</v>
      </c>
      <c r="D4121">
        <v>135</v>
      </c>
      <c r="E4121">
        <v>0</v>
      </c>
      <c r="F4121">
        <v>0</v>
      </c>
      <c r="G4121">
        <v>0</v>
      </c>
      <c r="H4121">
        <v>135</v>
      </c>
      <c r="I4121" s="183" t="s">
        <v>8693</v>
      </c>
      <c r="J4121" s="183" t="s">
        <v>12095</v>
      </c>
      <c r="K4121">
        <v>0</v>
      </c>
      <c r="L4121">
        <v>135</v>
      </c>
    </row>
    <row r="4122" spans="1:12">
      <c r="A4122" s="183" t="s">
        <v>8765</v>
      </c>
      <c r="B4122" s="183" t="s">
        <v>8692</v>
      </c>
      <c r="C4122">
        <v>8800358460547</v>
      </c>
      <c r="D4122">
        <v>135</v>
      </c>
      <c r="E4122">
        <v>0</v>
      </c>
      <c r="F4122">
        <v>0</v>
      </c>
      <c r="G4122">
        <v>0</v>
      </c>
      <c r="H4122">
        <v>135</v>
      </c>
      <c r="I4122" s="183" t="s">
        <v>8693</v>
      </c>
      <c r="J4122" s="183" t="s">
        <v>12061</v>
      </c>
      <c r="K4122">
        <v>0</v>
      </c>
      <c r="L4122">
        <v>135</v>
      </c>
    </row>
    <row r="4123" spans="1:12">
      <c r="A4123" s="183" t="s">
        <v>8766</v>
      </c>
      <c r="B4123" s="183" t="s">
        <v>8692</v>
      </c>
      <c r="C4123">
        <v>8800358460691</v>
      </c>
      <c r="D4123">
        <v>45</v>
      </c>
      <c r="E4123">
        <v>0</v>
      </c>
      <c r="F4123">
        <v>0</v>
      </c>
      <c r="G4123">
        <v>0</v>
      </c>
      <c r="H4123">
        <v>45</v>
      </c>
      <c r="I4123" s="183" t="s">
        <v>8693</v>
      </c>
      <c r="J4123" s="183" t="s">
        <v>12048</v>
      </c>
      <c r="K4123">
        <v>0</v>
      </c>
      <c r="L4123">
        <v>45</v>
      </c>
    </row>
    <row r="4124" spans="1:12">
      <c r="A4124" s="183" t="s">
        <v>8767</v>
      </c>
      <c r="B4124" s="183" t="s">
        <v>8698</v>
      </c>
      <c r="C4124">
        <v>8800358460806</v>
      </c>
      <c r="D4124">
        <v>135</v>
      </c>
      <c r="E4124">
        <v>0</v>
      </c>
      <c r="F4124">
        <v>0</v>
      </c>
      <c r="G4124">
        <v>0</v>
      </c>
      <c r="H4124">
        <v>135</v>
      </c>
      <c r="I4124" s="183" t="s">
        <v>8699</v>
      </c>
      <c r="J4124" s="183" t="s">
        <v>12066</v>
      </c>
      <c r="K4124">
        <v>0</v>
      </c>
      <c r="L4124">
        <v>135</v>
      </c>
    </row>
    <row r="4125" spans="1:12">
      <c r="A4125" s="183" t="s">
        <v>8768</v>
      </c>
      <c r="B4125" s="183" t="s">
        <v>8698</v>
      </c>
      <c r="C4125">
        <v>8800358460844</v>
      </c>
      <c r="D4125">
        <v>135</v>
      </c>
      <c r="E4125">
        <v>0</v>
      </c>
      <c r="F4125">
        <v>0</v>
      </c>
      <c r="G4125">
        <v>0</v>
      </c>
      <c r="H4125">
        <v>135</v>
      </c>
      <c r="I4125" s="183" t="s">
        <v>8699</v>
      </c>
      <c r="J4125" s="183" t="s">
        <v>12050</v>
      </c>
      <c r="K4125">
        <v>0</v>
      </c>
      <c r="L4125">
        <v>135</v>
      </c>
    </row>
    <row r="4126" spans="1:12">
      <c r="A4126" s="183" t="s">
        <v>8769</v>
      </c>
      <c r="B4126" s="183" t="s">
        <v>8698</v>
      </c>
      <c r="C4126">
        <v>8800358460875</v>
      </c>
      <c r="D4126">
        <v>135</v>
      </c>
      <c r="E4126">
        <v>0</v>
      </c>
      <c r="F4126">
        <v>0</v>
      </c>
      <c r="G4126">
        <v>0</v>
      </c>
      <c r="H4126">
        <v>135</v>
      </c>
      <c r="I4126" s="183" t="s">
        <v>8699</v>
      </c>
      <c r="J4126" s="183" t="s">
        <v>12048</v>
      </c>
      <c r="K4126">
        <v>0</v>
      </c>
      <c r="L4126">
        <v>135</v>
      </c>
    </row>
    <row r="4127" spans="1:12">
      <c r="A4127" s="183" t="s">
        <v>8770</v>
      </c>
      <c r="B4127" s="183" t="s">
        <v>8698</v>
      </c>
      <c r="C4127">
        <v>8800358460899</v>
      </c>
      <c r="D4127">
        <v>45</v>
      </c>
      <c r="E4127">
        <v>0</v>
      </c>
      <c r="F4127">
        <v>0</v>
      </c>
      <c r="G4127">
        <v>0</v>
      </c>
      <c r="H4127">
        <v>45</v>
      </c>
      <c r="I4127" s="183" t="s">
        <v>8699</v>
      </c>
      <c r="J4127" s="183" t="s">
        <v>12050</v>
      </c>
      <c r="K4127">
        <v>0</v>
      </c>
      <c r="L4127">
        <v>45</v>
      </c>
    </row>
    <row r="4128" spans="1:12">
      <c r="A4128" s="183" t="s">
        <v>5339</v>
      </c>
      <c r="B4128" s="183" t="s">
        <v>5246</v>
      </c>
      <c r="C4128">
        <v>8800322947456</v>
      </c>
      <c r="D4128">
        <v>50</v>
      </c>
      <c r="E4128">
        <v>0</v>
      </c>
      <c r="F4128">
        <v>0</v>
      </c>
      <c r="G4128">
        <v>0</v>
      </c>
      <c r="H4128">
        <v>50</v>
      </c>
      <c r="I4128" s="183" t="s">
        <v>5247</v>
      </c>
      <c r="J4128" s="183" t="s">
        <v>12085</v>
      </c>
      <c r="K4128">
        <v>0</v>
      </c>
      <c r="L4128">
        <v>50</v>
      </c>
    </row>
    <row r="4129" spans="1:12">
      <c r="A4129" s="183" t="s">
        <v>5375</v>
      </c>
      <c r="B4129" s="183" t="s">
        <v>5246</v>
      </c>
      <c r="C4129">
        <v>8800322950463</v>
      </c>
      <c r="D4129">
        <v>528</v>
      </c>
      <c r="E4129">
        <v>0</v>
      </c>
      <c r="F4129">
        <v>0</v>
      </c>
      <c r="G4129">
        <v>0</v>
      </c>
      <c r="H4129">
        <v>528</v>
      </c>
      <c r="I4129" s="183" t="s">
        <v>5247</v>
      </c>
      <c r="J4129" s="183" t="s">
        <v>12087</v>
      </c>
      <c r="K4129">
        <v>0</v>
      </c>
      <c r="L4129">
        <v>528</v>
      </c>
    </row>
    <row r="4130" spans="1:12">
      <c r="A4130" s="183" t="s">
        <v>5830</v>
      </c>
      <c r="B4130" s="183" t="s">
        <v>5246</v>
      </c>
      <c r="C4130">
        <v>8800322950210</v>
      </c>
      <c r="D4130">
        <v>50</v>
      </c>
      <c r="E4130">
        <v>0</v>
      </c>
      <c r="F4130">
        <v>0</v>
      </c>
      <c r="G4130">
        <v>0</v>
      </c>
      <c r="H4130">
        <v>50</v>
      </c>
      <c r="I4130" s="183" t="s">
        <v>5247</v>
      </c>
      <c r="J4130" s="183" t="s">
        <v>12094</v>
      </c>
      <c r="K4130">
        <v>0</v>
      </c>
      <c r="L4130">
        <v>50</v>
      </c>
    </row>
    <row r="4131" spans="1:12">
      <c r="A4131" s="183" t="s">
        <v>5376</v>
      </c>
      <c r="B4131" s="183" t="s">
        <v>5246</v>
      </c>
      <c r="C4131">
        <v>8800322948224</v>
      </c>
      <c r="D4131">
        <v>50</v>
      </c>
      <c r="E4131">
        <v>0</v>
      </c>
      <c r="F4131">
        <v>0</v>
      </c>
      <c r="G4131">
        <v>0</v>
      </c>
      <c r="H4131">
        <v>50</v>
      </c>
      <c r="I4131" s="183" t="s">
        <v>5247</v>
      </c>
      <c r="J4131" s="183" t="s">
        <v>12048</v>
      </c>
      <c r="K4131">
        <v>0</v>
      </c>
      <c r="L4131">
        <v>50</v>
      </c>
    </row>
    <row r="4132" spans="1:12">
      <c r="A4132" s="183" t="s">
        <v>5377</v>
      </c>
      <c r="B4132" s="183" t="s">
        <v>5246</v>
      </c>
      <c r="C4132">
        <v>8800322950487</v>
      </c>
      <c r="D4132">
        <v>529</v>
      </c>
      <c r="E4132">
        <v>0</v>
      </c>
      <c r="F4132">
        <v>0</v>
      </c>
      <c r="G4132">
        <v>0</v>
      </c>
      <c r="H4132">
        <v>529</v>
      </c>
      <c r="I4132" s="183" t="s">
        <v>5247</v>
      </c>
      <c r="J4132" s="183" t="s">
        <v>12048</v>
      </c>
      <c r="K4132">
        <v>0</v>
      </c>
      <c r="L4132">
        <v>529</v>
      </c>
    </row>
    <row r="4133" spans="1:12">
      <c r="A4133" s="183" t="s">
        <v>5659</v>
      </c>
      <c r="B4133" s="183" t="s">
        <v>5246</v>
      </c>
      <c r="C4133">
        <v>8800322947227</v>
      </c>
      <c r="D4133">
        <v>50</v>
      </c>
      <c r="E4133">
        <v>0</v>
      </c>
      <c r="F4133">
        <v>0</v>
      </c>
      <c r="G4133">
        <v>0</v>
      </c>
      <c r="H4133">
        <v>50</v>
      </c>
      <c r="I4133" s="183" t="s">
        <v>5247</v>
      </c>
      <c r="J4133" s="183" t="s">
        <v>12057</v>
      </c>
      <c r="K4133">
        <v>0</v>
      </c>
      <c r="L4133">
        <v>50</v>
      </c>
    </row>
    <row r="4134" spans="1:12">
      <c r="A4134" s="183" t="s">
        <v>5831</v>
      </c>
      <c r="B4134" s="183" t="s">
        <v>5246</v>
      </c>
      <c r="C4134">
        <v>8800322949474</v>
      </c>
      <c r="D4134">
        <v>50</v>
      </c>
      <c r="E4134">
        <v>0</v>
      </c>
      <c r="F4134">
        <v>0</v>
      </c>
      <c r="G4134">
        <v>0</v>
      </c>
      <c r="H4134">
        <v>50</v>
      </c>
      <c r="I4134" s="183" t="s">
        <v>5247</v>
      </c>
      <c r="J4134" s="183" t="s">
        <v>12085</v>
      </c>
      <c r="K4134">
        <v>0</v>
      </c>
      <c r="L4134">
        <v>50</v>
      </c>
    </row>
    <row r="4135" spans="1:12">
      <c r="A4135" s="183" t="s">
        <v>5378</v>
      </c>
      <c r="B4135" s="183" t="s">
        <v>5246</v>
      </c>
      <c r="C4135">
        <v>8800322948231</v>
      </c>
      <c r="D4135">
        <v>50</v>
      </c>
      <c r="E4135">
        <v>0</v>
      </c>
      <c r="F4135">
        <v>0</v>
      </c>
      <c r="G4135">
        <v>0</v>
      </c>
      <c r="H4135">
        <v>50</v>
      </c>
      <c r="I4135" s="183" t="s">
        <v>5247</v>
      </c>
      <c r="J4135" s="183" t="s">
        <v>12087</v>
      </c>
      <c r="K4135">
        <v>0</v>
      </c>
      <c r="L4135">
        <v>50</v>
      </c>
    </row>
    <row r="4136" spans="1:12">
      <c r="A4136" s="183" t="s">
        <v>5660</v>
      </c>
      <c r="B4136" s="183" t="s">
        <v>5246</v>
      </c>
      <c r="C4136">
        <v>8800322948989</v>
      </c>
      <c r="D4136">
        <v>50</v>
      </c>
      <c r="E4136">
        <v>0</v>
      </c>
      <c r="F4136">
        <v>0</v>
      </c>
      <c r="G4136">
        <v>0</v>
      </c>
      <c r="H4136">
        <v>50</v>
      </c>
      <c r="I4136" s="183" t="s">
        <v>5247</v>
      </c>
      <c r="J4136" s="183" t="s">
        <v>12095</v>
      </c>
      <c r="K4136">
        <v>0</v>
      </c>
      <c r="L4136">
        <v>50</v>
      </c>
    </row>
    <row r="4137" spans="1:12">
      <c r="A4137" s="183" t="s">
        <v>5379</v>
      </c>
      <c r="B4137" s="183" t="s">
        <v>5246</v>
      </c>
      <c r="C4137">
        <v>8800322946985</v>
      </c>
      <c r="D4137">
        <v>50</v>
      </c>
      <c r="E4137">
        <v>0</v>
      </c>
      <c r="F4137">
        <v>0</v>
      </c>
      <c r="G4137">
        <v>0</v>
      </c>
      <c r="H4137">
        <v>50</v>
      </c>
      <c r="I4137" s="183" t="s">
        <v>5247</v>
      </c>
      <c r="J4137" s="183" t="s">
        <v>12055</v>
      </c>
      <c r="K4137">
        <v>0</v>
      </c>
      <c r="L4137">
        <v>50</v>
      </c>
    </row>
    <row r="4138" spans="1:12">
      <c r="A4138" s="183" t="s">
        <v>5832</v>
      </c>
      <c r="B4138" s="183" t="s">
        <v>5246</v>
      </c>
      <c r="C4138">
        <v>8800322948736</v>
      </c>
      <c r="D4138">
        <v>50</v>
      </c>
      <c r="E4138">
        <v>0</v>
      </c>
      <c r="F4138">
        <v>0</v>
      </c>
      <c r="G4138">
        <v>0</v>
      </c>
      <c r="H4138">
        <v>50</v>
      </c>
      <c r="I4138" s="183" t="s">
        <v>5247</v>
      </c>
      <c r="J4138" s="183" t="s">
        <v>12085</v>
      </c>
      <c r="K4138">
        <v>0</v>
      </c>
      <c r="L4138">
        <v>50</v>
      </c>
    </row>
    <row r="4139" spans="1:12">
      <c r="A4139" s="183" t="s">
        <v>5380</v>
      </c>
      <c r="B4139" s="183" t="s">
        <v>5251</v>
      </c>
      <c r="C4139">
        <v>8800322946749</v>
      </c>
      <c r="D4139">
        <v>48</v>
      </c>
      <c r="E4139">
        <v>0</v>
      </c>
      <c r="F4139">
        <v>0</v>
      </c>
      <c r="G4139">
        <v>0</v>
      </c>
      <c r="H4139">
        <v>48</v>
      </c>
      <c r="I4139" s="183" t="s">
        <v>5247</v>
      </c>
      <c r="J4139" s="183" t="s">
        <v>12095</v>
      </c>
      <c r="K4139">
        <v>0</v>
      </c>
      <c r="L4139">
        <v>48</v>
      </c>
    </row>
    <row r="4140" spans="1:12">
      <c r="A4140" s="183" t="s">
        <v>5661</v>
      </c>
      <c r="B4140" s="183" t="s">
        <v>5251</v>
      </c>
      <c r="C4140">
        <v>8800322949993</v>
      </c>
      <c r="D4140">
        <v>50</v>
      </c>
      <c r="E4140">
        <v>0</v>
      </c>
      <c r="F4140">
        <v>0</v>
      </c>
      <c r="G4140">
        <v>0</v>
      </c>
      <c r="H4140">
        <v>50</v>
      </c>
      <c r="I4140" s="183" t="s">
        <v>5247</v>
      </c>
      <c r="J4140" s="183" t="s">
        <v>12048</v>
      </c>
      <c r="K4140">
        <v>0</v>
      </c>
      <c r="L4140">
        <v>50</v>
      </c>
    </row>
    <row r="4141" spans="1:12">
      <c r="A4141" s="183" t="s">
        <v>5662</v>
      </c>
      <c r="B4141" s="183" t="s">
        <v>5251</v>
      </c>
      <c r="C4141">
        <v>8800322950012</v>
      </c>
      <c r="D4141">
        <v>50</v>
      </c>
      <c r="E4141">
        <v>0</v>
      </c>
      <c r="F4141">
        <v>0</v>
      </c>
      <c r="G4141">
        <v>0</v>
      </c>
      <c r="H4141">
        <v>50</v>
      </c>
      <c r="I4141" s="183" t="s">
        <v>5247</v>
      </c>
      <c r="J4141" s="183" t="s">
        <v>12094</v>
      </c>
      <c r="K4141">
        <v>0</v>
      </c>
      <c r="L4141">
        <v>50</v>
      </c>
    </row>
    <row r="4142" spans="1:12">
      <c r="A4142" s="183" t="s">
        <v>5663</v>
      </c>
      <c r="B4142" s="183" t="s">
        <v>5251</v>
      </c>
      <c r="C4142">
        <v>8800322948002</v>
      </c>
      <c r="D4142">
        <v>50</v>
      </c>
      <c r="E4142">
        <v>0</v>
      </c>
      <c r="F4142">
        <v>0</v>
      </c>
      <c r="G4142">
        <v>0</v>
      </c>
      <c r="H4142">
        <v>50</v>
      </c>
      <c r="I4142" s="183" t="s">
        <v>5247</v>
      </c>
      <c r="J4142" s="183" t="s">
        <v>12085</v>
      </c>
      <c r="K4142">
        <v>0</v>
      </c>
      <c r="L4142">
        <v>50</v>
      </c>
    </row>
    <row r="4143" spans="1:12">
      <c r="A4143" s="183" t="s">
        <v>5381</v>
      </c>
      <c r="B4143" s="183" t="s">
        <v>5251</v>
      </c>
      <c r="C4143">
        <v>8800322951019</v>
      </c>
      <c r="D4143">
        <v>494</v>
      </c>
      <c r="E4143">
        <v>0</v>
      </c>
      <c r="F4143">
        <v>0</v>
      </c>
      <c r="G4143">
        <v>0</v>
      </c>
      <c r="H4143">
        <v>494</v>
      </c>
      <c r="I4143" s="183" t="s">
        <v>5247</v>
      </c>
      <c r="J4143" s="183" t="s">
        <v>12048</v>
      </c>
      <c r="K4143">
        <v>0</v>
      </c>
      <c r="L4143">
        <v>494</v>
      </c>
    </row>
    <row r="4144" spans="1:12">
      <c r="A4144" s="183" t="s">
        <v>5833</v>
      </c>
      <c r="B4144" s="183" t="s">
        <v>5251</v>
      </c>
      <c r="C4144">
        <v>8800322949511</v>
      </c>
      <c r="D4144">
        <v>49</v>
      </c>
      <c r="E4144">
        <v>0</v>
      </c>
      <c r="F4144">
        <v>0</v>
      </c>
      <c r="G4144">
        <v>0</v>
      </c>
      <c r="H4144">
        <v>49</v>
      </c>
      <c r="I4144" s="183" t="s">
        <v>5247</v>
      </c>
      <c r="J4144" s="183" t="s">
        <v>12085</v>
      </c>
      <c r="K4144">
        <v>0</v>
      </c>
      <c r="L4144">
        <v>49</v>
      </c>
    </row>
    <row r="4145" spans="1:12">
      <c r="A4145" s="183" t="s">
        <v>5382</v>
      </c>
      <c r="B4145" s="183" t="s">
        <v>5251</v>
      </c>
      <c r="C4145">
        <v>8800322947524</v>
      </c>
      <c r="D4145">
        <v>50</v>
      </c>
      <c r="E4145">
        <v>0</v>
      </c>
      <c r="F4145">
        <v>0</v>
      </c>
      <c r="G4145">
        <v>0</v>
      </c>
      <c r="H4145">
        <v>50</v>
      </c>
      <c r="I4145" s="183" t="s">
        <v>5247</v>
      </c>
      <c r="J4145" s="183" t="s">
        <v>12095</v>
      </c>
      <c r="K4145">
        <v>0</v>
      </c>
      <c r="L4145">
        <v>50</v>
      </c>
    </row>
    <row r="4146" spans="1:12">
      <c r="A4146" s="183" t="s">
        <v>5383</v>
      </c>
      <c r="B4146" s="183" t="s">
        <v>5251</v>
      </c>
      <c r="C4146">
        <v>8800322950531</v>
      </c>
      <c r="D4146">
        <v>580</v>
      </c>
      <c r="E4146">
        <v>0</v>
      </c>
      <c r="F4146">
        <v>0</v>
      </c>
      <c r="G4146">
        <v>0</v>
      </c>
      <c r="H4146">
        <v>580</v>
      </c>
      <c r="I4146" s="183" t="s">
        <v>5247</v>
      </c>
      <c r="J4146" s="183" t="s">
        <v>12087</v>
      </c>
      <c r="K4146">
        <v>0</v>
      </c>
      <c r="L4146">
        <v>580</v>
      </c>
    </row>
    <row r="4147" spans="1:12">
      <c r="A4147" s="183" t="s">
        <v>5834</v>
      </c>
      <c r="B4147" s="183" t="s">
        <v>5251</v>
      </c>
      <c r="C4147">
        <v>8800322949528</v>
      </c>
      <c r="D4147">
        <v>50</v>
      </c>
      <c r="E4147">
        <v>0</v>
      </c>
      <c r="F4147">
        <v>0</v>
      </c>
      <c r="G4147">
        <v>0</v>
      </c>
      <c r="H4147">
        <v>50</v>
      </c>
      <c r="I4147" s="183" t="s">
        <v>5247</v>
      </c>
      <c r="J4147" s="183" t="s">
        <v>12063</v>
      </c>
      <c r="K4147">
        <v>0</v>
      </c>
      <c r="L4147">
        <v>50</v>
      </c>
    </row>
    <row r="4148" spans="1:12">
      <c r="A4148" s="183" t="s">
        <v>3621</v>
      </c>
      <c r="B4148" s="183" t="s">
        <v>1014</v>
      </c>
      <c r="C4148">
        <v>18820206</v>
      </c>
      <c r="D4148">
        <v>279</v>
      </c>
      <c r="E4148">
        <v>0</v>
      </c>
      <c r="F4148">
        <v>0</v>
      </c>
      <c r="G4148">
        <v>0</v>
      </c>
      <c r="H4148">
        <v>279</v>
      </c>
      <c r="I4148" s="183" t="s">
        <v>1015</v>
      </c>
      <c r="J4148" s="183" t="s">
        <v>12091</v>
      </c>
      <c r="K4148">
        <v>0</v>
      </c>
      <c r="L4148">
        <v>279</v>
      </c>
    </row>
    <row r="4149" spans="1:12">
      <c r="A4149" s="183" t="s">
        <v>1351</v>
      </c>
      <c r="B4149" s="183" t="s">
        <v>1014</v>
      </c>
      <c r="C4149">
        <v>18820223</v>
      </c>
      <c r="D4149" s="501">
        <v>1116</v>
      </c>
      <c r="E4149">
        <v>0</v>
      </c>
      <c r="F4149">
        <v>0</v>
      </c>
      <c r="G4149">
        <v>0</v>
      </c>
      <c r="H4149" s="501">
        <v>1116</v>
      </c>
      <c r="I4149" s="183" t="s">
        <v>1015</v>
      </c>
      <c r="J4149" s="183" t="s">
        <v>12053</v>
      </c>
      <c r="K4149">
        <v>0</v>
      </c>
      <c r="L4149" s="501">
        <v>1116</v>
      </c>
    </row>
    <row r="4150" spans="1:12">
      <c r="A4150" s="183" t="s">
        <v>1863</v>
      </c>
      <c r="B4150" s="183" t="s">
        <v>1203</v>
      </c>
      <c r="C4150">
        <v>18830210</v>
      </c>
      <c r="D4150" s="501">
        <v>4261</v>
      </c>
      <c r="E4150">
        <v>0</v>
      </c>
      <c r="F4150">
        <v>0</v>
      </c>
      <c r="G4150">
        <v>0</v>
      </c>
      <c r="H4150" s="501">
        <v>4261</v>
      </c>
      <c r="I4150" s="183" t="s">
        <v>1204</v>
      </c>
      <c r="J4150" s="183" t="s">
        <v>12067</v>
      </c>
      <c r="K4150">
        <v>0</v>
      </c>
      <c r="L4150" s="501">
        <v>4261</v>
      </c>
    </row>
    <row r="4151" spans="1:12">
      <c r="A4151" s="183" t="s">
        <v>1864</v>
      </c>
      <c r="B4151" s="183" t="s">
        <v>1203</v>
      </c>
      <c r="C4151">
        <v>18830230</v>
      </c>
      <c r="D4151" s="501">
        <v>1590</v>
      </c>
      <c r="E4151">
        <v>0</v>
      </c>
      <c r="F4151">
        <v>0</v>
      </c>
      <c r="G4151">
        <v>0</v>
      </c>
      <c r="H4151" s="501">
        <v>1590</v>
      </c>
      <c r="I4151" s="183" t="s">
        <v>1204</v>
      </c>
      <c r="J4151" s="183" t="s">
        <v>12085</v>
      </c>
      <c r="K4151">
        <v>0</v>
      </c>
      <c r="L4151" s="501">
        <v>1590</v>
      </c>
    </row>
    <row r="4152" spans="1:12">
      <c r="A4152" s="183" t="s">
        <v>1873</v>
      </c>
      <c r="B4152" s="183" t="s">
        <v>1206</v>
      </c>
      <c r="C4152">
        <v>18840206</v>
      </c>
      <c r="D4152" s="501">
        <v>3198</v>
      </c>
      <c r="E4152">
        <v>0</v>
      </c>
      <c r="F4152">
        <v>0</v>
      </c>
      <c r="G4152">
        <v>0</v>
      </c>
      <c r="H4152" s="501">
        <v>3198</v>
      </c>
      <c r="I4152" s="183" t="s">
        <v>1207</v>
      </c>
      <c r="J4152" s="183" t="s">
        <v>12081</v>
      </c>
      <c r="K4152">
        <v>0</v>
      </c>
      <c r="L4152" s="501">
        <v>3198</v>
      </c>
    </row>
    <row r="4153" spans="1:12">
      <c r="A4153" s="183" t="s">
        <v>2186</v>
      </c>
      <c r="B4153" s="183" t="s">
        <v>1206</v>
      </c>
      <c r="C4153">
        <v>18840220</v>
      </c>
      <c r="D4153" s="501">
        <v>2947</v>
      </c>
      <c r="E4153">
        <v>0</v>
      </c>
      <c r="F4153">
        <v>0</v>
      </c>
      <c r="G4153">
        <v>0</v>
      </c>
      <c r="H4153" s="501">
        <v>2947</v>
      </c>
      <c r="I4153" s="183" t="s">
        <v>1207</v>
      </c>
      <c r="J4153" s="183" t="s">
        <v>12092</v>
      </c>
      <c r="K4153">
        <v>0</v>
      </c>
      <c r="L4153" s="501">
        <v>2947</v>
      </c>
    </row>
    <row r="4154" spans="1:12">
      <c r="A4154" s="183" t="s">
        <v>1681</v>
      </c>
      <c r="B4154" s="183" t="s">
        <v>1206</v>
      </c>
      <c r="C4154">
        <v>18840223</v>
      </c>
      <c r="D4154" s="501">
        <v>2026</v>
      </c>
      <c r="E4154">
        <v>0</v>
      </c>
      <c r="F4154">
        <v>0</v>
      </c>
      <c r="G4154">
        <v>0</v>
      </c>
      <c r="H4154" s="501">
        <v>2026</v>
      </c>
      <c r="I4154" s="183" t="s">
        <v>1207</v>
      </c>
      <c r="J4154" s="183" t="s">
        <v>12094</v>
      </c>
      <c r="K4154">
        <v>0</v>
      </c>
      <c r="L4154" s="501">
        <v>2026</v>
      </c>
    </row>
    <row r="4155" spans="1:12">
      <c r="A4155" s="183" t="s">
        <v>12003</v>
      </c>
      <c r="B4155" s="183" t="s">
        <v>6338</v>
      </c>
      <c r="C4155">
        <v>8806392046471</v>
      </c>
      <c r="D4155" s="501">
        <v>1053</v>
      </c>
      <c r="E4155">
        <v>0</v>
      </c>
      <c r="F4155">
        <v>0</v>
      </c>
      <c r="G4155">
        <v>0</v>
      </c>
      <c r="H4155" s="501">
        <v>1053</v>
      </c>
      <c r="I4155" s="183" t="s">
        <v>6339</v>
      </c>
      <c r="J4155" s="183" t="s">
        <v>12067</v>
      </c>
      <c r="K4155">
        <v>0</v>
      </c>
      <c r="L4155" s="501">
        <v>1053</v>
      </c>
    </row>
    <row r="4156" spans="1:12">
      <c r="A4156" s="183" t="s">
        <v>6372</v>
      </c>
      <c r="B4156" s="183" t="s">
        <v>6338</v>
      </c>
      <c r="C4156">
        <v>8806392046488</v>
      </c>
      <c r="D4156">
        <v>312</v>
      </c>
      <c r="E4156">
        <v>0</v>
      </c>
      <c r="F4156">
        <v>0</v>
      </c>
      <c r="G4156">
        <v>0</v>
      </c>
      <c r="H4156">
        <v>312</v>
      </c>
      <c r="I4156" s="183" t="s">
        <v>6339</v>
      </c>
      <c r="J4156" s="183" t="s">
        <v>12053</v>
      </c>
      <c r="K4156">
        <v>0</v>
      </c>
      <c r="L4156">
        <v>312</v>
      </c>
    </row>
    <row r="4157" spans="1:12">
      <c r="A4157" s="183" t="s">
        <v>7485</v>
      </c>
      <c r="B4157" s="183" t="s">
        <v>6338</v>
      </c>
      <c r="C4157">
        <v>8806392046600</v>
      </c>
      <c r="D4157">
        <v>395</v>
      </c>
      <c r="E4157">
        <v>0</v>
      </c>
      <c r="F4157">
        <v>2</v>
      </c>
      <c r="G4157">
        <v>0</v>
      </c>
      <c r="H4157">
        <v>397</v>
      </c>
      <c r="I4157" s="183" t="s">
        <v>6339</v>
      </c>
      <c r="J4157" s="183" t="s">
        <v>12081</v>
      </c>
      <c r="K4157">
        <v>0</v>
      </c>
      <c r="L4157">
        <v>395</v>
      </c>
    </row>
    <row r="4158" spans="1:12">
      <c r="A4158" s="183" t="s">
        <v>6376</v>
      </c>
      <c r="B4158" s="183" t="s">
        <v>6338</v>
      </c>
      <c r="C4158">
        <v>8806392046624</v>
      </c>
      <c r="D4158">
        <v>360</v>
      </c>
      <c r="E4158">
        <v>0</v>
      </c>
      <c r="F4158">
        <v>0</v>
      </c>
      <c r="G4158">
        <v>0</v>
      </c>
      <c r="H4158">
        <v>360</v>
      </c>
      <c r="I4158" s="183" t="s">
        <v>6339</v>
      </c>
      <c r="J4158" s="183" t="s">
        <v>12053</v>
      </c>
      <c r="K4158">
        <v>0</v>
      </c>
      <c r="L4158">
        <v>360</v>
      </c>
    </row>
    <row r="4159" spans="1:12">
      <c r="A4159" s="183" t="s">
        <v>6344</v>
      </c>
      <c r="B4159" s="183" t="s">
        <v>6338</v>
      </c>
      <c r="C4159">
        <v>8806392046648</v>
      </c>
      <c r="D4159">
        <v>330</v>
      </c>
      <c r="E4159">
        <v>0</v>
      </c>
      <c r="F4159">
        <v>0</v>
      </c>
      <c r="G4159">
        <v>0</v>
      </c>
      <c r="H4159">
        <v>330</v>
      </c>
      <c r="I4159" s="183" t="s">
        <v>6339</v>
      </c>
      <c r="J4159" s="183" t="s">
        <v>12091</v>
      </c>
      <c r="K4159">
        <v>0</v>
      </c>
      <c r="L4159">
        <v>330</v>
      </c>
    </row>
    <row r="4160" spans="1:12">
      <c r="A4160" s="183" t="s">
        <v>7491</v>
      </c>
      <c r="B4160" s="183" t="s">
        <v>6338</v>
      </c>
      <c r="C4160">
        <v>8806392046686</v>
      </c>
      <c r="D4160">
        <v>457</v>
      </c>
      <c r="E4160">
        <v>0</v>
      </c>
      <c r="F4160">
        <v>0</v>
      </c>
      <c r="G4160">
        <v>0</v>
      </c>
      <c r="H4160">
        <v>457</v>
      </c>
      <c r="I4160" s="183" t="s">
        <v>6339</v>
      </c>
      <c r="J4160" s="183" t="s">
        <v>12054</v>
      </c>
      <c r="K4160">
        <v>0</v>
      </c>
      <c r="L4160">
        <v>457</v>
      </c>
    </row>
    <row r="4161" spans="1:12">
      <c r="A4161" s="183" t="s">
        <v>6345</v>
      </c>
      <c r="B4161" s="183" t="s">
        <v>6338</v>
      </c>
      <c r="C4161">
        <v>8806392046709</v>
      </c>
      <c r="D4161">
        <v>114</v>
      </c>
      <c r="E4161">
        <v>0</v>
      </c>
      <c r="F4161">
        <v>1</v>
      </c>
      <c r="G4161">
        <v>0</v>
      </c>
      <c r="H4161">
        <v>115</v>
      </c>
      <c r="I4161" s="183" t="s">
        <v>6339</v>
      </c>
      <c r="J4161" s="183" t="s">
        <v>12067</v>
      </c>
      <c r="K4161">
        <v>0</v>
      </c>
      <c r="L4161">
        <v>114</v>
      </c>
    </row>
    <row r="4162" spans="1:12">
      <c r="A4162" s="183" t="s">
        <v>6375</v>
      </c>
      <c r="B4162" s="183" t="s">
        <v>6338</v>
      </c>
      <c r="C4162">
        <v>8806392046747</v>
      </c>
      <c r="D4162">
        <v>190</v>
      </c>
      <c r="E4162">
        <v>0</v>
      </c>
      <c r="F4162">
        <v>0</v>
      </c>
      <c r="G4162">
        <v>0</v>
      </c>
      <c r="H4162">
        <v>190</v>
      </c>
      <c r="I4162" s="183" t="s">
        <v>6339</v>
      </c>
      <c r="J4162" s="183" t="s">
        <v>12067</v>
      </c>
      <c r="K4162">
        <v>0</v>
      </c>
      <c r="L4162">
        <v>190</v>
      </c>
    </row>
    <row r="4163" spans="1:12">
      <c r="A4163" s="183" t="s">
        <v>3951</v>
      </c>
      <c r="B4163" s="183" t="s">
        <v>1029</v>
      </c>
      <c r="C4163">
        <v>8806392046815</v>
      </c>
      <c r="D4163">
        <v>428</v>
      </c>
      <c r="E4163">
        <v>0</v>
      </c>
      <c r="F4163">
        <v>0</v>
      </c>
      <c r="G4163">
        <v>0</v>
      </c>
      <c r="H4163">
        <v>428</v>
      </c>
      <c r="I4163" s="183" t="s">
        <v>1030</v>
      </c>
      <c r="J4163" s="183" t="s">
        <v>12091</v>
      </c>
      <c r="K4163">
        <v>0</v>
      </c>
      <c r="L4163">
        <v>428</v>
      </c>
    </row>
    <row r="4164" spans="1:12">
      <c r="A4164" s="183" t="s">
        <v>2946</v>
      </c>
      <c r="B4164" s="183" t="s">
        <v>1029</v>
      </c>
      <c r="C4164">
        <v>8806392046846</v>
      </c>
      <c r="D4164">
        <v>264</v>
      </c>
      <c r="E4164">
        <v>0</v>
      </c>
      <c r="F4164">
        <v>0</v>
      </c>
      <c r="G4164">
        <v>0</v>
      </c>
      <c r="H4164">
        <v>264</v>
      </c>
      <c r="I4164" s="183" t="s">
        <v>1030</v>
      </c>
      <c r="J4164" s="183" t="s">
        <v>12087</v>
      </c>
      <c r="K4164">
        <v>0</v>
      </c>
      <c r="L4164">
        <v>264</v>
      </c>
    </row>
    <row r="4165" spans="1:12">
      <c r="A4165" s="183" t="s">
        <v>3437</v>
      </c>
      <c r="B4165" s="183" t="s">
        <v>1029</v>
      </c>
      <c r="C4165">
        <v>8806392046969</v>
      </c>
      <c r="D4165">
        <v>412</v>
      </c>
      <c r="E4165">
        <v>0</v>
      </c>
      <c r="F4165">
        <v>1</v>
      </c>
      <c r="G4165">
        <v>0</v>
      </c>
      <c r="H4165">
        <v>413</v>
      </c>
      <c r="I4165" s="183" t="s">
        <v>1030</v>
      </c>
      <c r="J4165" s="183" t="s">
        <v>12093</v>
      </c>
      <c r="K4165">
        <v>0</v>
      </c>
      <c r="L4165">
        <v>412</v>
      </c>
    </row>
    <row r="4166" spans="1:12">
      <c r="A4166" s="183" t="s">
        <v>3741</v>
      </c>
      <c r="B4166" s="183" t="s">
        <v>1029</v>
      </c>
      <c r="C4166">
        <v>8806392046976</v>
      </c>
      <c r="D4166">
        <v>400</v>
      </c>
      <c r="E4166">
        <v>0</v>
      </c>
      <c r="F4166">
        <v>0</v>
      </c>
      <c r="G4166">
        <v>0</v>
      </c>
      <c r="H4166">
        <v>400</v>
      </c>
      <c r="I4166" s="183" t="s">
        <v>1030</v>
      </c>
      <c r="J4166" s="183" t="s">
        <v>12081</v>
      </c>
      <c r="K4166">
        <v>0</v>
      </c>
      <c r="L4166">
        <v>400</v>
      </c>
    </row>
    <row r="4167" spans="1:12">
      <c r="A4167" s="183" t="s">
        <v>3504</v>
      </c>
      <c r="B4167" s="183" t="s">
        <v>1029</v>
      </c>
      <c r="C4167">
        <v>8806392046990</v>
      </c>
      <c r="D4167">
        <v>399</v>
      </c>
      <c r="E4167">
        <v>0</v>
      </c>
      <c r="F4167">
        <v>0</v>
      </c>
      <c r="G4167">
        <v>0</v>
      </c>
      <c r="H4167">
        <v>399</v>
      </c>
      <c r="I4167" s="183" t="s">
        <v>1030</v>
      </c>
      <c r="J4167" s="183" t="s">
        <v>12093</v>
      </c>
      <c r="K4167">
        <v>0</v>
      </c>
      <c r="L4167">
        <v>399</v>
      </c>
    </row>
    <row r="4168" spans="1:12">
      <c r="A4168" s="183" t="s">
        <v>638</v>
      </c>
      <c r="B4168" s="183" t="s">
        <v>1026</v>
      </c>
      <c r="C4168">
        <v>8806392047218</v>
      </c>
      <c r="D4168">
        <v>68</v>
      </c>
      <c r="E4168">
        <v>0</v>
      </c>
      <c r="F4168">
        <v>1</v>
      </c>
      <c r="G4168">
        <v>0</v>
      </c>
      <c r="H4168">
        <v>69</v>
      </c>
      <c r="I4168" s="183" t="s">
        <v>1027</v>
      </c>
      <c r="J4168" s="183" t="s">
        <v>12092</v>
      </c>
      <c r="K4168">
        <v>0</v>
      </c>
      <c r="L4168">
        <v>68</v>
      </c>
    </row>
    <row r="4169" spans="1:12">
      <c r="A4169" s="183" t="s">
        <v>2020</v>
      </c>
      <c r="B4169" s="183" t="s">
        <v>1455</v>
      </c>
      <c r="C4169">
        <v>8809867707709</v>
      </c>
      <c r="D4169">
        <v>786</v>
      </c>
      <c r="E4169">
        <v>0</v>
      </c>
      <c r="F4169">
        <v>0</v>
      </c>
      <c r="G4169">
        <v>0</v>
      </c>
      <c r="H4169">
        <v>786</v>
      </c>
      <c r="I4169" s="183" t="s">
        <v>1456</v>
      </c>
      <c r="J4169" s="183" t="s">
        <v>12093</v>
      </c>
      <c r="K4169">
        <v>0</v>
      </c>
      <c r="L4169">
        <v>786</v>
      </c>
    </row>
    <row r="4170" spans="1:12">
      <c r="A4170" s="183" t="s">
        <v>1668</v>
      </c>
      <c r="B4170" s="183" t="s">
        <v>1455</v>
      </c>
      <c r="C4170">
        <v>8809867707761</v>
      </c>
      <c r="D4170">
        <v>849</v>
      </c>
      <c r="E4170">
        <v>0</v>
      </c>
      <c r="F4170">
        <v>0</v>
      </c>
      <c r="G4170">
        <v>0</v>
      </c>
      <c r="H4170">
        <v>849</v>
      </c>
      <c r="I4170" s="183" t="s">
        <v>1456</v>
      </c>
      <c r="J4170" s="183" t="s">
        <v>12094</v>
      </c>
      <c r="K4170">
        <v>0</v>
      </c>
      <c r="L4170">
        <v>849</v>
      </c>
    </row>
    <row r="4171" spans="1:12">
      <c r="A4171" s="183" t="s">
        <v>1844</v>
      </c>
      <c r="B4171" s="183" t="s">
        <v>1455</v>
      </c>
      <c r="C4171">
        <v>8809867707822</v>
      </c>
      <c r="D4171">
        <v>809</v>
      </c>
      <c r="E4171">
        <v>0</v>
      </c>
      <c r="F4171">
        <v>0</v>
      </c>
      <c r="G4171">
        <v>0</v>
      </c>
      <c r="H4171">
        <v>809</v>
      </c>
      <c r="I4171" s="183" t="s">
        <v>1456</v>
      </c>
      <c r="J4171" s="183" t="s">
        <v>12095</v>
      </c>
      <c r="K4171">
        <v>0</v>
      </c>
      <c r="L4171">
        <v>809</v>
      </c>
    </row>
    <row r="4172" spans="1:12">
      <c r="A4172" s="183" t="s">
        <v>1877</v>
      </c>
      <c r="B4172" s="183" t="s">
        <v>1455</v>
      </c>
      <c r="C4172">
        <v>8809867707839</v>
      </c>
      <c r="D4172">
        <v>542</v>
      </c>
      <c r="E4172">
        <v>0</v>
      </c>
      <c r="F4172">
        <v>0</v>
      </c>
      <c r="G4172">
        <v>0</v>
      </c>
      <c r="H4172">
        <v>542</v>
      </c>
      <c r="I4172" s="183" t="s">
        <v>1456</v>
      </c>
      <c r="J4172" s="183" t="s">
        <v>12063</v>
      </c>
      <c r="K4172">
        <v>0</v>
      </c>
      <c r="L4172">
        <v>542</v>
      </c>
    </row>
    <row r="4173" spans="1:12">
      <c r="A4173" s="183" t="s">
        <v>1523</v>
      </c>
      <c r="B4173" s="183" t="s">
        <v>1455</v>
      </c>
      <c r="C4173">
        <v>8809867707853</v>
      </c>
      <c r="D4173">
        <v>329</v>
      </c>
      <c r="E4173">
        <v>0</v>
      </c>
      <c r="F4173">
        <v>0</v>
      </c>
      <c r="G4173">
        <v>0</v>
      </c>
      <c r="H4173">
        <v>329</v>
      </c>
      <c r="I4173" s="183" t="s">
        <v>1456</v>
      </c>
      <c r="J4173" s="183" t="s">
        <v>12085</v>
      </c>
      <c r="K4173">
        <v>0</v>
      </c>
      <c r="L4173">
        <v>329</v>
      </c>
    </row>
    <row r="4174" spans="1:12">
      <c r="A4174" s="183" t="s">
        <v>3026</v>
      </c>
      <c r="B4174" s="183" t="s">
        <v>1069</v>
      </c>
      <c r="C4174">
        <v>8806392047812</v>
      </c>
      <c r="D4174">
        <v>459</v>
      </c>
      <c r="E4174">
        <v>0</v>
      </c>
      <c r="F4174">
        <v>0</v>
      </c>
      <c r="G4174">
        <v>0</v>
      </c>
      <c r="H4174">
        <v>459</v>
      </c>
      <c r="I4174" s="183" t="s">
        <v>1070</v>
      </c>
      <c r="J4174" s="183" t="s">
        <v>12095</v>
      </c>
      <c r="K4174">
        <v>0</v>
      </c>
      <c r="L4174">
        <v>459</v>
      </c>
    </row>
    <row r="4175" spans="1:12">
      <c r="A4175" s="183" t="s">
        <v>652</v>
      </c>
      <c r="B4175" s="183" t="s">
        <v>1069</v>
      </c>
      <c r="C4175">
        <v>8806392047867</v>
      </c>
      <c r="D4175">
        <v>930</v>
      </c>
      <c r="E4175">
        <v>0</v>
      </c>
      <c r="F4175">
        <v>0</v>
      </c>
      <c r="G4175">
        <v>0</v>
      </c>
      <c r="H4175">
        <v>930</v>
      </c>
      <c r="I4175" s="183" t="s">
        <v>1070</v>
      </c>
      <c r="J4175" s="183" t="s">
        <v>12081</v>
      </c>
      <c r="K4175">
        <v>0</v>
      </c>
      <c r="L4175">
        <v>930</v>
      </c>
    </row>
    <row r="4176" spans="1:12">
      <c r="A4176" s="183" t="s">
        <v>2990</v>
      </c>
      <c r="B4176" s="183" t="s">
        <v>993</v>
      </c>
      <c r="C4176">
        <v>8806392049717</v>
      </c>
      <c r="D4176">
        <v>824</v>
      </c>
      <c r="E4176">
        <v>0</v>
      </c>
      <c r="F4176">
        <v>0</v>
      </c>
      <c r="G4176">
        <v>0</v>
      </c>
      <c r="H4176">
        <v>824</v>
      </c>
      <c r="I4176" s="183" t="s">
        <v>994</v>
      </c>
      <c r="J4176" s="183" t="s">
        <v>12092</v>
      </c>
      <c r="K4176">
        <v>0</v>
      </c>
      <c r="L4176">
        <v>824</v>
      </c>
    </row>
    <row r="4177" spans="1:12">
      <c r="A4177" s="183" t="s">
        <v>764</v>
      </c>
      <c r="B4177" s="183" t="s">
        <v>993</v>
      </c>
      <c r="C4177">
        <v>8806392049786</v>
      </c>
      <c r="D4177">
        <v>851</v>
      </c>
      <c r="E4177">
        <v>0</v>
      </c>
      <c r="F4177">
        <v>0</v>
      </c>
      <c r="G4177">
        <v>0</v>
      </c>
      <c r="H4177">
        <v>851</v>
      </c>
      <c r="I4177" s="183" t="s">
        <v>994</v>
      </c>
      <c r="J4177" s="183" t="s">
        <v>12067</v>
      </c>
      <c r="K4177">
        <v>0</v>
      </c>
      <c r="L4177">
        <v>851</v>
      </c>
    </row>
    <row r="4178" spans="1:12">
      <c r="A4178" s="183" t="s">
        <v>765</v>
      </c>
      <c r="B4178" s="183" t="s">
        <v>993</v>
      </c>
      <c r="C4178">
        <v>8806392049816</v>
      </c>
      <c r="D4178" s="501">
        <v>1211</v>
      </c>
      <c r="E4178">
        <v>0</v>
      </c>
      <c r="F4178">
        <v>0</v>
      </c>
      <c r="G4178">
        <v>0</v>
      </c>
      <c r="H4178" s="501">
        <v>1211</v>
      </c>
      <c r="I4178" s="183" t="s">
        <v>994</v>
      </c>
      <c r="J4178" s="183" t="s">
        <v>12092</v>
      </c>
      <c r="K4178">
        <v>0</v>
      </c>
      <c r="L4178" s="501">
        <v>1211</v>
      </c>
    </row>
    <row r="4179" spans="1:12">
      <c r="A4179" s="183" t="s">
        <v>2989</v>
      </c>
      <c r="B4179" s="183" t="s">
        <v>993</v>
      </c>
      <c r="C4179">
        <v>8806392049847</v>
      </c>
      <c r="D4179">
        <v>499</v>
      </c>
      <c r="E4179">
        <v>0</v>
      </c>
      <c r="F4179">
        <v>0</v>
      </c>
      <c r="G4179">
        <v>0</v>
      </c>
      <c r="H4179">
        <v>499</v>
      </c>
      <c r="I4179" s="183" t="s">
        <v>994</v>
      </c>
      <c r="J4179" s="183" t="s">
        <v>12081</v>
      </c>
      <c r="K4179">
        <v>0</v>
      </c>
      <c r="L4179">
        <v>499</v>
      </c>
    </row>
    <row r="4180" spans="1:12">
      <c r="A4180" s="183" t="s">
        <v>781</v>
      </c>
      <c r="B4180" s="183" t="s">
        <v>993</v>
      </c>
      <c r="C4180">
        <v>8806392049892</v>
      </c>
      <c r="D4180" s="501">
        <v>1349</v>
      </c>
      <c r="E4180">
        <v>0</v>
      </c>
      <c r="F4180">
        <v>0</v>
      </c>
      <c r="G4180">
        <v>0</v>
      </c>
      <c r="H4180" s="501">
        <v>1349</v>
      </c>
      <c r="I4180" s="183" t="s">
        <v>994</v>
      </c>
      <c r="J4180" s="183" t="s">
        <v>12094</v>
      </c>
      <c r="K4180">
        <v>0</v>
      </c>
      <c r="L4180" s="501">
        <v>1349</v>
      </c>
    </row>
    <row r="4181" spans="1:12">
      <c r="A4181" s="183" t="s">
        <v>782</v>
      </c>
      <c r="B4181" s="183" t="s">
        <v>993</v>
      </c>
      <c r="C4181">
        <v>8806392049922</v>
      </c>
      <c r="D4181">
        <v>510</v>
      </c>
      <c r="E4181">
        <v>0</v>
      </c>
      <c r="F4181">
        <v>0</v>
      </c>
      <c r="G4181">
        <v>0</v>
      </c>
      <c r="H4181">
        <v>510</v>
      </c>
      <c r="I4181" s="183" t="s">
        <v>994</v>
      </c>
      <c r="J4181" s="183" t="s">
        <v>12094</v>
      </c>
      <c r="K4181">
        <v>0</v>
      </c>
      <c r="L4181">
        <v>510</v>
      </c>
    </row>
    <row r="4182" spans="1:12">
      <c r="A4182" s="183" t="s">
        <v>3088</v>
      </c>
      <c r="B4182" s="183" t="s">
        <v>3089</v>
      </c>
      <c r="C4182">
        <v>8800143693136</v>
      </c>
      <c r="D4182" s="501">
        <v>1547</v>
      </c>
      <c r="E4182">
        <v>0</v>
      </c>
      <c r="F4182">
        <v>0</v>
      </c>
      <c r="G4182">
        <v>0</v>
      </c>
      <c r="H4182" s="501">
        <v>1547</v>
      </c>
      <c r="I4182" s="183" t="s">
        <v>1023</v>
      </c>
      <c r="J4182" s="183" t="s">
        <v>12063</v>
      </c>
      <c r="K4182">
        <v>0</v>
      </c>
      <c r="L4182" s="501">
        <v>1547</v>
      </c>
    </row>
    <row r="4183" spans="1:12">
      <c r="A4183" s="183" t="s">
        <v>3218</v>
      </c>
      <c r="B4183" s="183" t="s">
        <v>3219</v>
      </c>
      <c r="C4183">
        <v>8800143693181</v>
      </c>
      <c r="D4183" s="501">
        <v>1692</v>
      </c>
      <c r="E4183">
        <v>0</v>
      </c>
      <c r="F4183">
        <v>0</v>
      </c>
      <c r="G4183">
        <v>0</v>
      </c>
      <c r="H4183" s="501">
        <v>1692</v>
      </c>
      <c r="I4183" s="183" t="s">
        <v>1023</v>
      </c>
      <c r="J4183" s="183" t="s">
        <v>12048</v>
      </c>
      <c r="K4183">
        <v>0</v>
      </c>
      <c r="L4183" s="501">
        <v>1692</v>
      </c>
    </row>
    <row r="4184" spans="1:12">
      <c r="A4184" s="183" t="s">
        <v>671</v>
      </c>
      <c r="B4184" s="183" t="s">
        <v>1264</v>
      </c>
      <c r="C4184">
        <v>8800143693303</v>
      </c>
      <c r="D4184" s="501">
        <v>2794</v>
      </c>
      <c r="E4184">
        <v>0</v>
      </c>
      <c r="F4184">
        <v>0</v>
      </c>
      <c r="G4184">
        <v>0</v>
      </c>
      <c r="H4184" s="501">
        <v>2794</v>
      </c>
      <c r="I4184" s="183" t="s">
        <v>1023</v>
      </c>
      <c r="J4184" s="183" t="s">
        <v>12095</v>
      </c>
      <c r="K4184">
        <v>0</v>
      </c>
      <c r="L4184" s="501">
        <v>2794</v>
      </c>
    </row>
    <row r="4185" spans="1:12">
      <c r="A4185" s="183" t="s">
        <v>6082</v>
      </c>
      <c r="B4185" s="183" t="s">
        <v>3481</v>
      </c>
      <c r="C4185">
        <v>8809986728289</v>
      </c>
      <c r="D4185">
        <v>424</v>
      </c>
      <c r="E4185">
        <v>0</v>
      </c>
      <c r="F4185">
        <v>0</v>
      </c>
      <c r="G4185">
        <v>0</v>
      </c>
      <c r="H4185">
        <v>424</v>
      </c>
      <c r="I4185" s="183" t="s">
        <v>3443</v>
      </c>
      <c r="J4185" s="183" t="s">
        <v>12087</v>
      </c>
      <c r="K4185">
        <v>0</v>
      </c>
      <c r="L4185">
        <v>424</v>
      </c>
    </row>
    <row r="4186" spans="1:12">
      <c r="A4186" s="183" t="s">
        <v>3482</v>
      </c>
      <c r="B4186" s="183" t="s">
        <v>3466</v>
      </c>
      <c r="C4186">
        <v>8809986728333</v>
      </c>
      <c r="D4186">
        <v>338</v>
      </c>
      <c r="E4186">
        <v>0</v>
      </c>
      <c r="F4186">
        <v>0</v>
      </c>
      <c r="G4186">
        <v>0</v>
      </c>
      <c r="H4186">
        <v>338</v>
      </c>
      <c r="I4186" s="183" t="s">
        <v>3443</v>
      </c>
      <c r="J4186" s="183" t="s">
        <v>12087</v>
      </c>
      <c r="K4186">
        <v>0</v>
      </c>
      <c r="L4186">
        <v>338</v>
      </c>
    </row>
    <row r="4187" spans="1:12">
      <c r="A4187" s="183" t="s">
        <v>3483</v>
      </c>
      <c r="B4187" s="183" t="s">
        <v>3449</v>
      </c>
      <c r="C4187">
        <v>8809986728425</v>
      </c>
      <c r="D4187">
        <v>314</v>
      </c>
      <c r="E4187">
        <v>0</v>
      </c>
      <c r="F4187">
        <v>0</v>
      </c>
      <c r="G4187">
        <v>0</v>
      </c>
      <c r="H4187">
        <v>314</v>
      </c>
      <c r="I4187" s="183" t="s">
        <v>3443</v>
      </c>
      <c r="J4187" s="183" t="s">
        <v>12093</v>
      </c>
      <c r="K4187">
        <v>0</v>
      </c>
      <c r="L4187">
        <v>314</v>
      </c>
    </row>
    <row r="4188" spans="1:12">
      <c r="A4188" s="183" t="s">
        <v>3479</v>
      </c>
      <c r="B4188" s="183" t="s">
        <v>3474</v>
      </c>
      <c r="C4188">
        <v>8809986728524</v>
      </c>
      <c r="D4188">
        <v>66</v>
      </c>
      <c r="E4188">
        <v>0</v>
      </c>
      <c r="F4188">
        <v>0</v>
      </c>
      <c r="G4188">
        <v>0</v>
      </c>
      <c r="H4188">
        <v>66</v>
      </c>
      <c r="I4188" s="183" t="s">
        <v>3443</v>
      </c>
      <c r="J4188" s="183" t="s">
        <v>12095</v>
      </c>
      <c r="K4188">
        <v>0</v>
      </c>
      <c r="L4188">
        <v>66</v>
      </c>
    </row>
    <row r="4189" spans="1:12">
      <c r="A4189" s="183" t="s">
        <v>3879</v>
      </c>
      <c r="B4189" s="183" t="s">
        <v>3880</v>
      </c>
      <c r="C4189">
        <v>8809986728654</v>
      </c>
      <c r="D4189">
        <v>699</v>
      </c>
      <c r="E4189">
        <v>0</v>
      </c>
      <c r="F4189">
        <v>0</v>
      </c>
      <c r="G4189">
        <v>0</v>
      </c>
      <c r="H4189">
        <v>699</v>
      </c>
      <c r="I4189" s="183" t="s">
        <v>3878</v>
      </c>
      <c r="J4189" s="183" t="s">
        <v>12091</v>
      </c>
      <c r="K4189">
        <v>0</v>
      </c>
      <c r="L4189">
        <v>699</v>
      </c>
    </row>
    <row r="4190" spans="1:12">
      <c r="A4190" s="183" t="s">
        <v>3922</v>
      </c>
      <c r="B4190" s="183" t="s">
        <v>3880</v>
      </c>
      <c r="C4190">
        <v>8809986728678</v>
      </c>
      <c r="D4190">
        <v>298</v>
      </c>
      <c r="E4190">
        <v>0</v>
      </c>
      <c r="F4190">
        <v>0</v>
      </c>
      <c r="G4190">
        <v>0</v>
      </c>
      <c r="H4190">
        <v>298</v>
      </c>
      <c r="I4190" s="183" t="s">
        <v>3878</v>
      </c>
      <c r="J4190" s="183" t="s">
        <v>12091</v>
      </c>
      <c r="K4190">
        <v>0</v>
      </c>
      <c r="L4190">
        <v>298</v>
      </c>
    </row>
    <row r="4191" spans="1:12">
      <c r="A4191" s="183" t="s">
        <v>3916</v>
      </c>
      <c r="B4191" s="183" t="s">
        <v>3891</v>
      </c>
      <c r="C4191">
        <v>8809986728685</v>
      </c>
      <c r="D4191">
        <v>360</v>
      </c>
      <c r="E4191">
        <v>0</v>
      </c>
      <c r="F4191">
        <v>0</v>
      </c>
      <c r="G4191">
        <v>0</v>
      </c>
      <c r="H4191">
        <v>360</v>
      </c>
      <c r="I4191" s="183" t="s">
        <v>3878</v>
      </c>
      <c r="J4191" s="183" t="s">
        <v>12094</v>
      </c>
      <c r="K4191">
        <v>0</v>
      </c>
      <c r="L4191">
        <v>360</v>
      </c>
    </row>
    <row r="4192" spans="1:12">
      <c r="A4192" s="183" t="s">
        <v>3919</v>
      </c>
      <c r="B4192" s="183" t="s">
        <v>3891</v>
      </c>
      <c r="C4192">
        <v>8809986728708</v>
      </c>
      <c r="D4192" s="501">
        <v>1198</v>
      </c>
      <c r="E4192">
        <v>0</v>
      </c>
      <c r="F4192">
        <v>0</v>
      </c>
      <c r="G4192">
        <v>0</v>
      </c>
      <c r="H4192" s="501">
        <v>1198</v>
      </c>
      <c r="I4192" s="183" t="s">
        <v>3878</v>
      </c>
      <c r="J4192" s="183" t="s">
        <v>12094</v>
      </c>
      <c r="K4192">
        <v>0</v>
      </c>
      <c r="L4192" s="501">
        <v>1198</v>
      </c>
    </row>
    <row r="4193" spans="1:12">
      <c r="A4193" s="183" t="s">
        <v>5835</v>
      </c>
      <c r="B4193" s="183" t="s">
        <v>5251</v>
      </c>
      <c r="C4193">
        <v>8800322950289</v>
      </c>
      <c r="D4193">
        <v>50</v>
      </c>
      <c r="E4193">
        <v>0</v>
      </c>
      <c r="F4193">
        <v>0</v>
      </c>
      <c r="G4193">
        <v>0</v>
      </c>
      <c r="H4193">
        <v>50</v>
      </c>
      <c r="I4193" s="183" t="s">
        <v>5247</v>
      </c>
      <c r="J4193" s="183" t="s">
        <v>12066</v>
      </c>
      <c r="K4193">
        <v>0</v>
      </c>
      <c r="L4193">
        <v>50</v>
      </c>
    </row>
    <row r="4194" spans="1:12">
      <c r="A4194" s="183" t="s">
        <v>5664</v>
      </c>
      <c r="B4194" s="183" t="s">
        <v>5256</v>
      </c>
      <c r="C4194">
        <v>8800322947289</v>
      </c>
      <c r="D4194">
        <v>50</v>
      </c>
      <c r="E4194">
        <v>0</v>
      </c>
      <c r="F4194">
        <v>0</v>
      </c>
      <c r="G4194">
        <v>0</v>
      </c>
      <c r="H4194">
        <v>50</v>
      </c>
      <c r="I4194" s="183" t="s">
        <v>5247</v>
      </c>
      <c r="J4194" s="183" t="s">
        <v>12061</v>
      </c>
      <c r="K4194">
        <v>0</v>
      </c>
      <c r="L4194">
        <v>50</v>
      </c>
    </row>
    <row r="4195" spans="1:12">
      <c r="A4195" s="183" t="s">
        <v>5836</v>
      </c>
      <c r="B4195" s="183" t="s">
        <v>5256</v>
      </c>
      <c r="C4195">
        <v>8800322949535</v>
      </c>
      <c r="D4195">
        <v>50</v>
      </c>
      <c r="E4195">
        <v>0</v>
      </c>
      <c r="F4195">
        <v>0</v>
      </c>
      <c r="G4195">
        <v>0</v>
      </c>
      <c r="H4195">
        <v>50</v>
      </c>
      <c r="I4195" s="183" t="s">
        <v>5247</v>
      </c>
      <c r="J4195" s="183" t="s">
        <v>12050</v>
      </c>
      <c r="K4195">
        <v>0</v>
      </c>
      <c r="L4195">
        <v>50</v>
      </c>
    </row>
    <row r="4196" spans="1:12">
      <c r="A4196" s="183" t="s">
        <v>5384</v>
      </c>
      <c r="B4196" s="183" t="s">
        <v>5256</v>
      </c>
      <c r="C4196">
        <v>8800322949801</v>
      </c>
      <c r="D4196">
        <v>50</v>
      </c>
      <c r="E4196">
        <v>0</v>
      </c>
      <c r="F4196">
        <v>0</v>
      </c>
      <c r="G4196">
        <v>0</v>
      </c>
      <c r="H4196">
        <v>50</v>
      </c>
      <c r="I4196" s="183" t="s">
        <v>5247</v>
      </c>
      <c r="J4196" s="183" t="s">
        <v>12066</v>
      </c>
      <c r="K4196">
        <v>0</v>
      </c>
      <c r="L4196">
        <v>50</v>
      </c>
    </row>
    <row r="4197" spans="1:12">
      <c r="A4197" s="183" t="s">
        <v>5385</v>
      </c>
      <c r="B4197" s="183" t="s">
        <v>5256</v>
      </c>
      <c r="C4197">
        <v>8800322950814</v>
      </c>
      <c r="D4197">
        <v>483</v>
      </c>
      <c r="E4197">
        <v>0</v>
      </c>
      <c r="F4197">
        <v>0</v>
      </c>
      <c r="G4197">
        <v>0</v>
      </c>
      <c r="H4197">
        <v>483</v>
      </c>
      <c r="I4197" s="183" t="s">
        <v>5247</v>
      </c>
      <c r="J4197" s="183" t="s">
        <v>12063</v>
      </c>
      <c r="K4197">
        <v>0</v>
      </c>
      <c r="L4197">
        <v>483</v>
      </c>
    </row>
    <row r="4198" spans="1:12">
      <c r="A4198" s="183" t="s">
        <v>5665</v>
      </c>
      <c r="B4198" s="183" t="s">
        <v>5256</v>
      </c>
      <c r="C4198">
        <v>8800322948057</v>
      </c>
      <c r="D4198">
        <v>50</v>
      </c>
      <c r="E4198">
        <v>0</v>
      </c>
      <c r="F4198">
        <v>0</v>
      </c>
      <c r="G4198">
        <v>0</v>
      </c>
      <c r="H4198">
        <v>50</v>
      </c>
      <c r="I4198" s="183" t="s">
        <v>5247</v>
      </c>
      <c r="J4198" s="183" t="s">
        <v>12066</v>
      </c>
      <c r="K4198">
        <v>0</v>
      </c>
      <c r="L4198">
        <v>50</v>
      </c>
    </row>
    <row r="4199" spans="1:12">
      <c r="A4199" s="183" t="s">
        <v>5666</v>
      </c>
      <c r="B4199" s="183" t="s">
        <v>5256</v>
      </c>
      <c r="C4199">
        <v>8800322949559</v>
      </c>
      <c r="D4199">
        <v>50</v>
      </c>
      <c r="E4199">
        <v>0</v>
      </c>
      <c r="F4199">
        <v>0</v>
      </c>
      <c r="G4199">
        <v>0</v>
      </c>
      <c r="H4199">
        <v>50</v>
      </c>
      <c r="I4199" s="183" t="s">
        <v>5247</v>
      </c>
      <c r="J4199" s="183" t="s">
        <v>12094</v>
      </c>
      <c r="K4199">
        <v>0</v>
      </c>
      <c r="L4199">
        <v>50</v>
      </c>
    </row>
    <row r="4200" spans="1:12">
      <c r="A4200" s="183" t="s">
        <v>5386</v>
      </c>
      <c r="B4200" s="183" t="s">
        <v>5256</v>
      </c>
      <c r="C4200">
        <v>8800322946817</v>
      </c>
      <c r="D4200">
        <v>50</v>
      </c>
      <c r="E4200">
        <v>0</v>
      </c>
      <c r="F4200">
        <v>0</v>
      </c>
      <c r="G4200">
        <v>0</v>
      </c>
      <c r="H4200">
        <v>50</v>
      </c>
      <c r="I4200" s="183" t="s">
        <v>5247</v>
      </c>
      <c r="J4200" s="183" t="s">
        <v>12095</v>
      </c>
      <c r="K4200">
        <v>0</v>
      </c>
      <c r="L4200">
        <v>50</v>
      </c>
    </row>
    <row r="4201" spans="1:12">
      <c r="A4201" s="183" t="s">
        <v>5667</v>
      </c>
      <c r="B4201" s="183" t="s">
        <v>5256</v>
      </c>
      <c r="C4201">
        <v>8800322950074</v>
      </c>
      <c r="D4201">
        <v>50</v>
      </c>
      <c r="E4201">
        <v>0</v>
      </c>
      <c r="F4201">
        <v>0</v>
      </c>
      <c r="G4201">
        <v>0</v>
      </c>
      <c r="H4201">
        <v>50</v>
      </c>
      <c r="I4201" s="183" t="s">
        <v>5247</v>
      </c>
      <c r="J4201" s="183" t="s">
        <v>12094</v>
      </c>
      <c r="K4201">
        <v>0</v>
      </c>
      <c r="L4201">
        <v>50</v>
      </c>
    </row>
    <row r="4202" spans="1:12">
      <c r="A4202" s="183" t="s">
        <v>5387</v>
      </c>
      <c r="B4202" s="183" t="s">
        <v>5256</v>
      </c>
      <c r="C4202">
        <v>8800322950821</v>
      </c>
      <c r="D4202">
        <v>483</v>
      </c>
      <c r="E4202">
        <v>0</v>
      </c>
      <c r="F4202">
        <v>0</v>
      </c>
      <c r="G4202">
        <v>0</v>
      </c>
      <c r="H4202">
        <v>483</v>
      </c>
      <c r="I4202" s="183" t="s">
        <v>5247</v>
      </c>
      <c r="J4202" s="183" t="s">
        <v>12055</v>
      </c>
      <c r="K4202">
        <v>0</v>
      </c>
      <c r="L4202">
        <v>483</v>
      </c>
    </row>
    <row r="4203" spans="1:12">
      <c r="A4203" s="183" t="s">
        <v>5388</v>
      </c>
      <c r="B4203" s="183" t="s">
        <v>5267</v>
      </c>
      <c r="C4203">
        <v>8800322949825</v>
      </c>
      <c r="D4203">
        <v>50</v>
      </c>
      <c r="E4203">
        <v>0</v>
      </c>
      <c r="F4203">
        <v>0</v>
      </c>
      <c r="G4203">
        <v>0</v>
      </c>
      <c r="H4203">
        <v>50</v>
      </c>
      <c r="I4203" s="183" t="s">
        <v>5247</v>
      </c>
      <c r="J4203" s="183" t="s">
        <v>12095</v>
      </c>
      <c r="K4203">
        <v>0</v>
      </c>
      <c r="L4203">
        <v>50</v>
      </c>
    </row>
    <row r="4204" spans="1:12">
      <c r="A4204" s="183" t="s">
        <v>5389</v>
      </c>
      <c r="B4204" s="183" t="s">
        <v>5267</v>
      </c>
      <c r="C4204">
        <v>8800322950586</v>
      </c>
      <c r="D4204">
        <v>612</v>
      </c>
      <c r="E4204">
        <v>0</v>
      </c>
      <c r="F4204">
        <v>0</v>
      </c>
      <c r="G4204">
        <v>0</v>
      </c>
      <c r="H4204">
        <v>612</v>
      </c>
      <c r="I4204" s="183" t="s">
        <v>5247</v>
      </c>
      <c r="J4204" s="183" t="s">
        <v>12087</v>
      </c>
      <c r="K4204">
        <v>0</v>
      </c>
      <c r="L4204">
        <v>612</v>
      </c>
    </row>
    <row r="4205" spans="1:12">
      <c r="A4205" s="183" t="s">
        <v>5668</v>
      </c>
      <c r="B4205" s="183" t="s">
        <v>5267</v>
      </c>
      <c r="C4205">
        <v>8800322948071</v>
      </c>
      <c r="D4205">
        <v>50</v>
      </c>
      <c r="E4205">
        <v>0</v>
      </c>
      <c r="F4205">
        <v>0</v>
      </c>
      <c r="G4205">
        <v>0</v>
      </c>
      <c r="H4205">
        <v>50</v>
      </c>
      <c r="I4205" s="183" t="s">
        <v>5247</v>
      </c>
      <c r="J4205" s="183" t="s">
        <v>12095</v>
      </c>
      <c r="K4205">
        <v>0</v>
      </c>
      <c r="L4205">
        <v>50</v>
      </c>
    </row>
    <row r="4206" spans="1:12">
      <c r="A4206" s="183" t="s">
        <v>5390</v>
      </c>
      <c r="B4206" s="183" t="s">
        <v>5267</v>
      </c>
      <c r="C4206">
        <v>8800322948590</v>
      </c>
      <c r="D4206">
        <v>50</v>
      </c>
      <c r="E4206">
        <v>0</v>
      </c>
      <c r="F4206">
        <v>0</v>
      </c>
      <c r="G4206">
        <v>0</v>
      </c>
      <c r="H4206">
        <v>50</v>
      </c>
      <c r="I4206" s="183" t="s">
        <v>5247</v>
      </c>
      <c r="J4206" s="183" t="s">
        <v>12048</v>
      </c>
      <c r="K4206">
        <v>0</v>
      </c>
      <c r="L4206">
        <v>50</v>
      </c>
    </row>
    <row r="4207" spans="1:12">
      <c r="A4207" s="183" t="s">
        <v>5391</v>
      </c>
      <c r="B4207" s="183" t="s">
        <v>5267</v>
      </c>
      <c r="C4207">
        <v>8800322947852</v>
      </c>
      <c r="D4207">
        <v>50</v>
      </c>
      <c r="E4207">
        <v>0</v>
      </c>
      <c r="F4207">
        <v>0</v>
      </c>
      <c r="G4207">
        <v>0</v>
      </c>
      <c r="H4207">
        <v>50</v>
      </c>
      <c r="I4207" s="183" t="s">
        <v>5247</v>
      </c>
      <c r="J4207" s="183" t="s">
        <v>12050</v>
      </c>
      <c r="K4207">
        <v>0</v>
      </c>
      <c r="L4207">
        <v>50</v>
      </c>
    </row>
    <row r="4208" spans="1:12">
      <c r="A4208" s="183" t="s">
        <v>5392</v>
      </c>
      <c r="B4208" s="183" t="s">
        <v>5267</v>
      </c>
      <c r="C4208">
        <v>8800322948606</v>
      </c>
      <c r="D4208">
        <v>50</v>
      </c>
      <c r="E4208">
        <v>0</v>
      </c>
      <c r="F4208">
        <v>0</v>
      </c>
      <c r="G4208">
        <v>0</v>
      </c>
      <c r="H4208">
        <v>50</v>
      </c>
      <c r="I4208" s="183" t="s">
        <v>5247</v>
      </c>
      <c r="J4208" s="183" t="s">
        <v>12066</v>
      </c>
      <c r="K4208">
        <v>0</v>
      </c>
      <c r="L4208">
        <v>50</v>
      </c>
    </row>
    <row r="4209" spans="1:12">
      <c r="A4209" s="183" t="s">
        <v>5393</v>
      </c>
      <c r="B4209" s="183" t="s">
        <v>5296</v>
      </c>
      <c r="C4209">
        <v>8800322946879</v>
      </c>
      <c r="D4209">
        <v>50</v>
      </c>
      <c r="E4209">
        <v>0</v>
      </c>
      <c r="F4209">
        <v>0</v>
      </c>
      <c r="G4209">
        <v>0</v>
      </c>
      <c r="H4209">
        <v>50</v>
      </c>
      <c r="I4209" s="183" t="s">
        <v>5247</v>
      </c>
      <c r="J4209" s="183" t="s">
        <v>12055</v>
      </c>
      <c r="K4209">
        <v>0</v>
      </c>
      <c r="L4209">
        <v>50</v>
      </c>
    </row>
    <row r="4210" spans="1:12">
      <c r="A4210" s="183" t="s">
        <v>5394</v>
      </c>
      <c r="B4210" s="183" t="s">
        <v>5296</v>
      </c>
      <c r="C4210">
        <v>8800322947623</v>
      </c>
      <c r="D4210">
        <v>50</v>
      </c>
      <c r="E4210">
        <v>0</v>
      </c>
      <c r="F4210">
        <v>0</v>
      </c>
      <c r="G4210">
        <v>0</v>
      </c>
      <c r="H4210">
        <v>50</v>
      </c>
      <c r="I4210" s="183" t="s">
        <v>5247</v>
      </c>
      <c r="J4210" s="183" t="s">
        <v>12063</v>
      </c>
      <c r="K4210">
        <v>0</v>
      </c>
      <c r="L4210">
        <v>50</v>
      </c>
    </row>
    <row r="4211" spans="1:12">
      <c r="A4211" s="183" t="s">
        <v>5669</v>
      </c>
      <c r="B4211" s="183" t="s">
        <v>5296</v>
      </c>
      <c r="C4211">
        <v>8800322948378</v>
      </c>
      <c r="D4211">
        <v>50</v>
      </c>
      <c r="E4211">
        <v>0</v>
      </c>
      <c r="F4211">
        <v>0</v>
      </c>
      <c r="G4211">
        <v>0</v>
      </c>
      <c r="H4211">
        <v>50</v>
      </c>
      <c r="I4211" s="183" t="s">
        <v>5247</v>
      </c>
      <c r="J4211" s="183" t="s">
        <v>12066</v>
      </c>
      <c r="K4211">
        <v>0</v>
      </c>
      <c r="L4211">
        <v>50</v>
      </c>
    </row>
    <row r="4212" spans="1:12">
      <c r="A4212" s="183" t="s">
        <v>5670</v>
      </c>
      <c r="B4212" s="183" t="s">
        <v>5296</v>
      </c>
      <c r="C4212">
        <v>8800322948125</v>
      </c>
      <c r="D4212">
        <v>50</v>
      </c>
      <c r="E4212">
        <v>0</v>
      </c>
      <c r="F4212">
        <v>0</v>
      </c>
      <c r="G4212">
        <v>0</v>
      </c>
      <c r="H4212">
        <v>50</v>
      </c>
      <c r="I4212" s="183" t="s">
        <v>5247</v>
      </c>
      <c r="J4212" s="183" t="s">
        <v>12050</v>
      </c>
      <c r="K4212">
        <v>0</v>
      </c>
      <c r="L4212">
        <v>50</v>
      </c>
    </row>
    <row r="4213" spans="1:12">
      <c r="A4213" s="183" t="s">
        <v>5671</v>
      </c>
      <c r="B4213" s="183" t="s">
        <v>5274</v>
      </c>
      <c r="C4213">
        <v>8800322950647</v>
      </c>
      <c r="D4213">
        <v>492</v>
      </c>
      <c r="E4213">
        <v>0</v>
      </c>
      <c r="F4213">
        <v>0</v>
      </c>
      <c r="G4213">
        <v>0</v>
      </c>
      <c r="H4213">
        <v>492</v>
      </c>
      <c r="I4213" s="183" t="s">
        <v>5247</v>
      </c>
      <c r="J4213" s="183" t="s">
        <v>12085</v>
      </c>
      <c r="K4213">
        <v>0</v>
      </c>
      <c r="L4213">
        <v>492</v>
      </c>
    </row>
    <row r="4214" spans="1:12">
      <c r="A4214" s="183" t="s">
        <v>5672</v>
      </c>
      <c r="B4214" s="183" t="s">
        <v>5274</v>
      </c>
      <c r="C4214">
        <v>8800322947388</v>
      </c>
      <c r="D4214">
        <v>50</v>
      </c>
      <c r="E4214">
        <v>0</v>
      </c>
      <c r="F4214">
        <v>0</v>
      </c>
      <c r="G4214">
        <v>0</v>
      </c>
      <c r="H4214">
        <v>50</v>
      </c>
      <c r="I4214" s="183" t="s">
        <v>5247</v>
      </c>
      <c r="J4214" s="183" t="s">
        <v>12055</v>
      </c>
      <c r="K4214">
        <v>0</v>
      </c>
      <c r="L4214">
        <v>50</v>
      </c>
    </row>
    <row r="4215" spans="1:12">
      <c r="A4215" s="183" t="s">
        <v>5673</v>
      </c>
      <c r="B4215" s="183" t="s">
        <v>5274</v>
      </c>
      <c r="C4215">
        <v>8800322948132</v>
      </c>
      <c r="D4215">
        <v>50</v>
      </c>
      <c r="E4215">
        <v>0</v>
      </c>
      <c r="F4215">
        <v>0</v>
      </c>
      <c r="G4215">
        <v>0</v>
      </c>
      <c r="H4215">
        <v>50</v>
      </c>
      <c r="I4215" s="183" t="s">
        <v>5247</v>
      </c>
      <c r="J4215" s="183" t="s">
        <v>12063</v>
      </c>
      <c r="K4215">
        <v>0</v>
      </c>
      <c r="L4215">
        <v>50</v>
      </c>
    </row>
    <row r="4216" spans="1:12">
      <c r="A4216" s="183" t="s">
        <v>5395</v>
      </c>
      <c r="B4216" s="183" t="s">
        <v>5274</v>
      </c>
      <c r="C4216">
        <v>8800322949146</v>
      </c>
      <c r="D4216">
        <v>50</v>
      </c>
      <c r="E4216">
        <v>0</v>
      </c>
      <c r="F4216">
        <v>0</v>
      </c>
      <c r="G4216">
        <v>0</v>
      </c>
      <c r="H4216">
        <v>50</v>
      </c>
      <c r="I4216" s="183" t="s">
        <v>5247</v>
      </c>
      <c r="J4216" s="183" t="s">
        <v>12095</v>
      </c>
      <c r="K4216">
        <v>0</v>
      </c>
      <c r="L4216">
        <v>50</v>
      </c>
    </row>
    <row r="4217" spans="1:12">
      <c r="A4217" s="183" t="s">
        <v>5674</v>
      </c>
      <c r="B4217" s="183" t="s">
        <v>5274</v>
      </c>
      <c r="C4217">
        <v>8800322949399</v>
      </c>
      <c r="D4217">
        <v>50</v>
      </c>
      <c r="E4217">
        <v>0</v>
      </c>
      <c r="F4217">
        <v>0</v>
      </c>
      <c r="G4217">
        <v>0</v>
      </c>
      <c r="H4217">
        <v>50</v>
      </c>
      <c r="I4217" s="183" t="s">
        <v>5247</v>
      </c>
      <c r="J4217" s="183" t="s">
        <v>12050</v>
      </c>
      <c r="K4217">
        <v>0</v>
      </c>
      <c r="L4217">
        <v>50</v>
      </c>
    </row>
    <row r="4218" spans="1:12">
      <c r="A4218" s="183" t="s">
        <v>5396</v>
      </c>
      <c r="B4218" s="183" t="s">
        <v>5302</v>
      </c>
      <c r="C4218">
        <v>8800322949153</v>
      </c>
      <c r="D4218">
        <v>50</v>
      </c>
      <c r="E4218">
        <v>0</v>
      </c>
      <c r="F4218">
        <v>0</v>
      </c>
      <c r="G4218">
        <v>0</v>
      </c>
      <c r="H4218">
        <v>50</v>
      </c>
      <c r="I4218" s="183" t="s">
        <v>5247</v>
      </c>
      <c r="J4218" s="183" t="s">
        <v>12095</v>
      </c>
      <c r="K4218">
        <v>0</v>
      </c>
      <c r="L4218">
        <v>50</v>
      </c>
    </row>
    <row r="4219" spans="1:12">
      <c r="A4219" s="183" t="s">
        <v>5397</v>
      </c>
      <c r="B4219" s="183" t="s">
        <v>5302</v>
      </c>
      <c r="C4219">
        <v>8800322949160</v>
      </c>
      <c r="D4219">
        <v>50</v>
      </c>
      <c r="E4219">
        <v>0</v>
      </c>
      <c r="F4219">
        <v>0</v>
      </c>
      <c r="G4219">
        <v>0</v>
      </c>
      <c r="H4219">
        <v>50</v>
      </c>
      <c r="I4219" s="183" t="s">
        <v>5247</v>
      </c>
      <c r="J4219" s="183" t="s">
        <v>12087</v>
      </c>
      <c r="K4219">
        <v>0</v>
      </c>
      <c r="L4219">
        <v>50</v>
      </c>
    </row>
    <row r="4220" spans="1:12">
      <c r="A4220" s="183" t="s">
        <v>5398</v>
      </c>
      <c r="B4220" s="183" t="s">
        <v>5302</v>
      </c>
      <c r="C4220">
        <v>8800322950920</v>
      </c>
      <c r="D4220">
        <v>502</v>
      </c>
      <c r="E4220">
        <v>0</v>
      </c>
      <c r="F4220">
        <v>0</v>
      </c>
      <c r="G4220">
        <v>0</v>
      </c>
      <c r="H4220">
        <v>502</v>
      </c>
      <c r="I4220" s="183" t="s">
        <v>5247</v>
      </c>
      <c r="J4220" s="183" t="s">
        <v>12063</v>
      </c>
      <c r="K4220">
        <v>0</v>
      </c>
      <c r="L4220">
        <v>502</v>
      </c>
    </row>
    <row r="4221" spans="1:12">
      <c r="A4221" s="183" t="s">
        <v>5399</v>
      </c>
      <c r="B4221" s="183" t="s">
        <v>5302</v>
      </c>
      <c r="C4221">
        <v>8800322951170</v>
      </c>
      <c r="D4221">
        <v>545</v>
      </c>
      <c r="E4221">
        <v>0</v>
      </c>
      <c r="F4221">
        <v>0</v>
      </c>
      <c r="G4221">
        <v>0</v>
      </c>
      <c r="H4221">
        <v>545</v>
      </c>
      <c r="I4221" s="183" t="s">
        <v>5247</v>
      </c>
      <c r="J4221" s="183" t="s">
        <v>12087</v>
      </c>
      <c r="K4221">
        <v>0</v>
      </c>
      <c r="L4221">
        <v>545</v>
      </c>
    </row>
    <row r="4222" spans="1:12">
      <c r="A4222" s="183" t="s">
        <v>5400</v>
      </c>
      <c r="B4222" s="183" t="s">
        <v>5308</v>
      </c>
      <c r="C4222">
        <v>8800322950951</v>
      </c>
      <c r="D4222">
        <v>551</v>
      </c>
      <c r="E4222">
        <v>0</v>
      </c>
      <c r="F4222">
        <v>0</v>
      </c>
      <c r="G4222">
        <v>0</v>
      </c>
      <c r="H4222">
        <v>551</v>
      </c>
      <c r="I4222" s="183" t="s">
        <v>5247</v>
      </c>
      <c r="J4222" s="183" t="s">
        <v>12095</v>
      </c>
      <c r="K4222">
        <v>0</v>
      </c>
      <c r="L4222">
        <v>551</v>
      </c>
    </row>
    <row r="4223" spans="1:12">
      <c r="A4223" s="183" t="s">
        <v>904</v>
      </c>
      <c r="B4223" s="183" t="s">
        <v>1039</v>
      </c>
      <c r="C4223">
        <v>8809867716411</v>
      </c>
      <c r="D4223">
        <v>910</v>
      </c>
      <c r="E4223">
        <v>0</v>
      </c>
      <c r="F4223">
        <v>0</v>
      </c>
      <c r="G4223">
        <v>0</v>
      </c>
      <c r="H4223">
        <v>910</v>
      </c>
      <c r="I4223" s="183" t="s">
        <v>1040</v>
      </c>
      <c r="J4223" s="183" t="s">
        <v>12087</v>
      </c>
      <c r="K4223">
        <v>0</v>
      </c>
      <c r="L4223">
        <v>910</v>
      </c>
    </row>
    <row r="4224" spans="1:12">
      <c r="A4224" s="183" t="s">
        <v>870</v>
      </c>
      <c r="B4224" s="183" t="s">
        <v>1039</v>
      </c>
      <c r="C4224">
        <v>8809867716428</v>
      </c>
      <c r="D4224" s="501">
        <v>1094</v>
      </c>
      <c r="E4224">
        <v>0</v>
      </c>
      <c r="F4224">
        <v>0</v>
      </c>
      <c r="G4224">
        <v>0</v>
      </c>
      <c r="H4224" s="501">
        <v>1094</v>
      </c>
      <c r="I4224" s="183" t="s">
        <v>1040</v>
      </c>
      <c r="J4224" s="183" t="s">
        <v>12067</v>
      </c>
      <c r="K4224">
        <v>0</v>
      </c>
      <c r="L4224" s="501">
        <v>1094</v>
      </c>
    </row>
    <row r="4225" spans="1:12">
      <c r="A4225" s="183" t="s">
        <v>871</v>
      </c>
      <c r="B4225" s="183" t="s">
        <v>1039</v>
      </c>
      <c r="C4225">
        <v>8809867716718</v>
      </c>
      <c r="D4225">
        <v>500</v>
      </c>
      <c r="E4225">
        <v>0</v>
      </c>
      <c r="F4225">
        <v>0</v>
      </c>
      <c r="G4225">
        <v>0</v>
      </c>
      <c r="H4225">
        <v>500</v>
      </c>
      <c r="I4225" s="183" t="s">
        <v>1040</v>
      </c>
      <c r="J4225" s="183" t="s">
        <v>12094</v>
      </c>
      <c r="K4225">
        <v>0</v>
      </c>
      <c r="L4225">
        <v>500</v>
      </c>
    </row>
    <row r="4226" spans="1:12">
      <c r="A4226" s="183" t="s">
        <v>3789</v>
      </c>
      <c r="B4226" s="183" t="s">
        <v>1039</v>
      </c>
      <c r="C4226">
        <v>8809867716763</v>
      </c>
      <c r="D4226">
        <v>165</v>
      </c>
      <c r="E4226">
        <v>0</v>
      </c>
      <c r="F4226">
        <v>0</v>
      </c>
      <c r="G4226">
        <v>0</v>
      </c>
      <c r="H4226">
        <v>165</v>
      </c>
      <c r="I4226" s="183" t="s">
        <v>1040</v>
      </c>
      <c r="J4226" s="183" t="s">
        <v>12087</v>
      </c>
      <c r="K4226">
        <v>0</v>
      </c>
      <c r="L4226">
        <v>165</v>
      </c>
    </row>
    <row r="4227" spans="1:12">
      <c r="A4227" s="183" t="s">
        <v>3517</v>
      </c>
      <c r="B4227" s="183" t="s">
        <v>1039</v>
      </c>
      <c r="C4227">
        <v>8809867716794</v>
      </c>
      <c r="D4227">
        <v>214</v>
      </c>
      <c r="E4227">
        <v>0</v>
      </c>
      <c r="F4227">
        <v>0</v>
      </c>
      <c r="G4227">
        <v>0</v>
      </c>
      <c r="H4227">
        <v>214</v>
      </c>
      <c r="I4227" s="183" t="s">
        <v>1040</v>
      </c>
      <c r="J4227" s="183" t="s">
        <v>12066</v>
      </c>
      <c r="K4227">
        <v>0</v>
      </c>
      <c r="L4227">
        <v>214</v>
      </c>
    </row>
    <row r="4228" spans="1:12">
      <c r="A4228" s="183" t="s">
        <v>901</v>
      </c>
      <c r="B4228" s="183" t="s">
        <v>1039</v>
      </c>
      <c r="C4228">
        <v>8809867716886</v>
      </c>
      <c r="D4228" s="501">
        <v>1705</v>
      </c>
      <c r="E4228">
        <v>0</v>
      </c>
      <c r="F4228">
        <v>0</v>
      </c>
      <c r="G4228">
        <v>0</v>
      </c>
      <c r="H4228" s="501">
        <v>1705</v>
      </c>
      <c r="I4228" s="183" t="s">
        <v>1040</v>
      </c>
      <c r="J4228" s="183" t="s">
        <v>12093</v>
      </c>
      <c r="K4228">
        <v>0</v>
      </c>
      <c r="L4228" s="501">
        <v>1705</v>
      </c>
    </row>
    <row r="4229" spans="1:12">
      <c r="A4229" s="183" t="s">
        <v>3514</v>
      </c>
      <c r="B4229" s="183" t="s">
        <v>1039</v>
      </c>
      <c r="C4229">
        <v>8809867717012</v>
      </c>
      <c r="D4229">
        <v>889</v>
      </c>
      <c r="E4229">
        <v>0</v>
      </c>
      <c r="F4229">
        <v>0</v>
      </c>
      <c r="G4229">
        <v>0</v>
      </c>
      <c r="H4229">
        <v>889</v>
      </c>
      <c r="I4229" s="183" t="s">
        <v>1040</v>
      </c>
      <c r="J4229" s="183" t="s">
        <v>12092</v>
      </c>
      <c r="K4229">
        <v>0</v>
      </c>
      <c r="L4229">
        <v>889</v>
      </c>
    </row>
    <row r="4230" spans="1:12">
      <c r="A4230" s="183" t="s">
        <v>1386</v>
      </c>
      <c r="B4230" s="183" t="s">
        <v>1039</v>
      </c>
      <c r="C4230">
        <v>8809867717036</v>
      </c>
      <c r="D4230">
        <v>430</v>
      </c>
      <c r="E4230">
        <v>0</v>
      </c>
      <c r="F4230">
        <v>0</v>
      </c>
      <c r="G4230">
        <v>0</v>
      </c>
      <c r="H4230">
        <v>430</v>
      </c>
      <c r="I4230" s="183" t="s">
        <v>1040</v>
      </c>
      <c r="J4230" s="183" t="s">
        <v>12092</v>
      </c>
      <c r="K4230">
        <v>0</v>
      </c>
      <c r="L4230">
        <v>430</v>
      </c>
    </row>
    <row r="4231" spans="1:12">
      <c r="A4231" s="183" t="s">
        <v>1553</v>
      </c>
      <c r="B4231" s="183" t="s">
        <v>1039</v>
      </c>
      <c r="C4231">
        <v>8809867717111</v>
      </c>
      <c r="D4231">
        <v>244</v>
      </c>
      <c r="E4231">
        <v>0</v>
      </c>
      <c r="F4231">
        <v>0</v>
      </c>
      <c r="G4231">
        <v>0</v>
      </c>
      <c r="H4231">
        <v>244</v>
      </c>
      <c r="I4231" s="183" t="s">
        <v>1040</v>
      </c>
      <c r="J4231" s="183" t="s">
        <v>12093</v>
      </c>
      <c r="K4231">
        <v>0</v>
      </c>
      <c r="L4231">
        <v>244</v>
      </c>
    </row>
    <row r="4232" spans="1:12">
      <c r="A4232" s="183" t="s">
        <v>953</v>
      </c>
      <c r="B4232" s="183" t="s">
        <v>927</v>
      </c>
      <c r="C4232">
        <v>8809867717197</v>
      </c>
      <c r="D4232">
        <v>516</v>
      </c>
      <c r="E4232">
        <v>0</v>
      </c>
      <c r="F4232">
        <v>0</v>
      </c>
      <c r="G4232">
        <v>0</v>
      </c>
      <c r="H4232">
        <v>516</v>
      </c>
      <c r="I4232" s="183" t="s">
        <v>1021</v>
      </c>
      <c r="J4232" s="183" t="s">
        <v>12067</v>
      </c>
      <c r="K4232">
        <v>0</v>
      </c>
      <c r="L4232">
        <v>516</v>
      </c>
    </row>
    <row r="4233" spans="1:12">
      <c r="A4233" s="183" t="s">
        <v>930</v>
      </c>
      <c r="B4233" s="183" t="s">
        <v>927</v>
      </c>
      <c r="C4233">
        <v>8809867717241</v>
      </c>
      <c r="D4233" s="501">
        <v>1159</v>
      </c>
      <c r="E4233">
        <v>0</v>
      </c>
      <c r="F4233">
        <v>0</v>
      </c>
      <c r="G4233">
        <v>0</v>
      </c>
      <c r="H4233" s="501">
        <v>1159</v>
      </c>
      <c r="I4233" s="183" t="s">
        <v>1021</v>
      </c>
      <c r="J4233" s="183" t="s">
        <v>12063</v>
      </c>
      <c r="K4233">
        <v>0</v>
      </c>
      <c r="L4233" s="501">
        <v>1159</v>
      </c>
    </row>
    <row r="4234" spans="1:12">
      <c r="A4234" s="183" t="s">
        <v>965</v>
      </c>
      <c r="B4234" s="183" t="s">
        <v>927</v>
      </c>
      <c r="C4234">
        <v>8809867717555</v>
      </c>
      <c r="D4234">
        <v>912</v>
      </c>
      <c r="E4234">
        <v>0</v>
      </c>
      <c r="F4234">
        <v>0</v>
      </c>
      <c r="G4234">
        <v>0</v>
      </c>
      <c r="H4234">
        <v>912</v>
      </c>
      <c r="I4234" s="183" t="s">
        <v>1021</v>
      </c>
      <c r="J4234" s="183" t="s">
        <v>12063</v>
      </c>
      <c r="K4234">
        <v>0</v>
      </c>
      <c r="L4234">
        <v>912</v>
      </c>
    </row>
    <row r="4235" spans="1:12">
      <c r="A4235" s="183" t="s">
        <v>944</v>
      </c>
      <c r="B4235" s="183" t="s">
        <v>927</v>
      </c>
      <c r="C4235">
        <v>8809867717661</v>
      </c>
      <c r="D4235" s="501">
        <v>1036</v>
      </c>
      <c r="E4235">
        <v>0</v>
      </c>
      <c r="F4235">
        <v>0</v>
      </c>
      <c r="G4235">
        <v>0</v>
      </c>
      <c r="H4235" s="501">
        <v>1036</v>
      </c>
      <c r="I4235" s="183" t="s">
        <v>1021</v>
      </c>
      <c r="J4235" s="183" t="s">
        <v>12081</v>
      </c>
      <c r="K4235">
        <v>0</v>
      </c>
      <c r="L4235" s="501">
        <v>1036</v>
      </c>
    </row>
    <row r="4236" spans="1:12">
      <c r="A4236" s="183" t="s">
        <v>3758</v>
      </c>
      <c r="B4236" s="183" t="s">
        <v>927</v>
      </c>
      <c r="C4236">
        <v>8809867717777</v>
      </c>
      <c r="D4236">
        <v>770</v>
      </c>
      <c r="E4236">
        <v>0</v>
      </c>
      <c r="F4236">
        <v>0</v>
      </c>
      <c r="G4236">
        <v>0</v>
      </c>
      <c r="H4236">
        <v>770</v>
      </c>
      <c r="I4236" s="183" t="s">
        <v>1021</v>
      </c>
      <c r="J4236" s="183" t="s">
        <v>12091</v>
      </c>
      <c r="K4236">
        <v>0</v>
      </c>
      <c r="L4236">
        <v>770</v>
      </c>
    </row>
    <row r="4237" spans="1:12">
      <c r="A4237" s="183" t="s">
        <v>971</v>
      </c>
      <c r="B4237" s="183" t="s">
        <v>927</v>
      </c>
      <c r="C4237">
        <v>8809867717791</v>
      </c>
      <c r="D4237">
        <v>935</v>
      </c>
      <c r="E4237">
        <v>0</v>
      </c>
      <c r="F4237">
        <v>0</v>
      </c>
      <c r="G4237">
        <v>0</v>
      </c>
      <c r="H4237">
        <v>935</v>
      </c>
      <c r="I4237" s="183" t="s">
        <v>1021</v>
      </c>
      <c r="J4237" s="183" t="s">
        <v>12091</v>
      </c>
      <c r="K4237">
        <v>0</v>
      </c>
      <c r="L4237">
        <v>935</v>
      </c>
    </row>
    <row r="4238" spans="1:12">
      <c r="A4238" s="183" t="s">
        <v>924</v>
      </c>
      <c r="B4238" s="183" t="s">
        <v>927</v>
      </c>
      <c r="C4238">
        <v>8809867717807</v>
      </c>
      <c r="D4238">
        <v>662</v>
      </c>
      <c r="E4238">
        <v>0</v>
      </c>
      <c r="F4238">
        <v>0</v>
      </c>
      <c r="G4238">
        <v>0</v>
      </c>
      <c r="H4238">
        <v>662</v>
      </c>
      <c r="I4238" s="183" t="s">
        <v>1021</v>
      </c>
      <c r="J4238" s="183" t="s">
        <v>12053</v>
      </c>
      <c r="K4238">
        <v>0</v>
      </c>
      <c r="L4238">
        <v>662</v>
      </c>
    </row>
    <row r="4239" spans="1:12">
      <c r="A4239" s="183" t="s">
        <v>2963</v>
      </c>
      <c r="B4239" s="183" t="s">
        <v>927</v>
      </c>
      <c r="C4239">
        <v>8809867718002</v>
      </c>
      <c r="D4239">
        <v>80</v>
      </c>
      <c r="E4239">
        <v>0</v>
      </c>
      <c r="F4239">
        <v>0</v>
      </c>
      <c r="G4239">
        <v>0</v>
      </c>
      <c r="H4239">
        <v>80</v>
      </c>
      <c r="I4239" s="183" t="s">
        <v>1021</v>
      </c>
      <c r="J4239" s="183" t="s">
        <v>12054</v>
      </c>
      <c r="K4239">
        <v>0</v>
      </c>
      <c r="L4239">
        <v>80</v>
      </c>
    </row>
    <row r="4240" spans="1:12">
      <c r="A4240" s="183" t="s">
        <v>1289</v>
      </c>
      <c r="B4240" s="183" t="s">
        <v>1006</v>
      </c>
      <c r="C4240">
        <v>8809867704623</v>
      </c>
      <c r="D4240">
        <v>21</v>
      </c>
      <c r="E4240">
        <v>0</v>
      </c>
      <c r="F4240">
        <v>0</v>
      </c>
      <c r="G4240">
        <v>0</v>
      </c>
      <c r="H4240">
        <v>21</v>
      </c>
      <c r="I4240" s="183" t="s">
        <v>1007</v>
      </c>
      <c r="J4240" s="183" t="s">
        <v>12094</v>
      </c>
      <c r="K4240">
        <v>0</v>
      </c>
      <c r="L4240">
        <v>21</v>
      </c>
    </row>
    <row r="4241" spans="1:12">
      <c r="A4241" s="183" t="s">
        <v>1144</v>
      </c>
      <c r="B4241" s="183" t="s">
        <v>1006</v>
      </c>
      <c r="C4241">
        <v>8809867704708</v>
      </c>
      <c r="D4241">
        <v>89</v>
      </c>
      <c r="E4241">
        <v>0</v>
      </c>
      <c r="F4241">
        <v>0</v>
      </c>
      <c r="G4241">
        <v>0</v>
      </c>
      <c r="H4241">
        <v>89</v>
      </c>
      <c r="I4241" s="183" t="s">
        <v>1007</v>
      </c>
      <c r="J4241" s="183" t="s">
        <v>12059</v>
      </c>
      <c r="K4241">
        <v>0</v>
      </c>
      <c r="L4241">
        <v>89</v>
      </c>
    </row>
    <row r="4242" spans="1:12">
      <c r="A4242" s="183" t="s">
        <v>1005</v>
      </c>
      <c r="B4242" s="183" t="s">
        <v>1006</v>
      </c>
      <c r="C4242">
        <v>8809867704739</v>
      </c>
      <c r="D4242">
        <v>53</v>
      </c>
      <c r="E4242">
        <v>0</v>
      </c>
      <c r="F4242">
        <v>0</v>
      </c>
      <c r="G4242">
        <v>0</v>
      </c>
      <c r="H4242">
        <v>53</v>
      </c>
      <c r="I4242" s="183" t="s">
        <v>1007</v>
      </c>
      <c r="J4242" s="183" t="s">
        <v>12093</v>
      </c>
      <c r="K4242">
        <v>0</v>
      </c>
      <c r="L4242">
        <v>53</v>
      </c>
    </row>
    <row r="4243" spans="1:12">
      <c r="A4243" s="183" t="s">
        <v>2690</v>
      </c>
      <c r="B4243" s="183" t="s">
        <v>1042</v>
      </c>
      <c r="C4243">
        <v>8809867704869</v>
      </c>
      <c r="D4243">
        <v>176</v>
      </c>
      <c r="E4243">
        <v>0</v>
      </c>
      <c r="F4243">
        <v>0</v>
      </c>
      <c r="G4243">
        <v>0</v>
      </c>
      <c r="H4243">
        <v>176</v>
      </c>
      <c r="I4243" s="183" t="s">
        <v>1043</v>
      </c>
      <c r="J4243" s="183" t="s">
        <v>12067</v>
      </c>
      <c r="K4243">
        <v>0</v>
      </c>
      <c r="L4243">
        <v>176</v>
      </c>
    </row>
    <row r="4244" spans="1:12">
      <c r="A4244" s="183" t="s">
        <v>1280</v>
      </c>
      <c r="B4244" s="183" t="s">
        <v>1042</v>
      </c>
      <c r="C4244">
        <v>8809867704876</v>
      </c>
      <c r="D4244">
        <v>143</v>
      </c>
      <c r="E4244">
        <v>0</v>
      </c>
      <c r="F4244">
        <v>0</v>
      </c>
      <c r="G4244">
        <v>0</v>
      </c>
      <c r="H4244">
        <v>143</v>
      </c>
      <c r="I4244" s="183" t="s">
        <v>1043</v>
      </c>
      <c r="J4244" s="183" t="s">
        <v>12067</v>
      </c>
      <c r="K4244">
        <v>0</v>
      </c>
      <c r="L4244">
        <v>143</v>
      </c>
    </row>
    <row r="4245" spans="1:12">
      <c r="A4245" s="183" t="s">
        <v>1139</v>
      </c>
      <c r="B4245" s="183" t="s">
        <v>1042</v>
      </c>
      <c r="C4245">
        <v>8809867704920</v>
      </c>
      <c r="D4245">
        <v>96</v>
      </c>
      <c r="E4245">
        <v>0</v>
      </c>
      <c r="F4245">
        <v>0</v>
      </c>
      <c r="G4245">
        <v>0</v>
      </c>
      <c r="H4245">
        <v>96</v>
      </c>
      <c r="I4245" s="183" t="s">
        <v>1043</v>
      </c>
      <c r="J4245" s="183" t="s">
        <v>12091</v>
      </c>
      <c r="K4245">
        <v>0</v>
      </c>
      <c r="L4245">
        <v>96</v>
      </c>
    </row>
    <row r="4246" spans="1:12">
      <c r="A4246" s="183" t="s">
        <v>1141</v>
      </c>
      <c r="B4246" s="183" t="s">
        <v>1042</v>
      </c>
      <c r="C4246">
        <v>8809867704944</v>
      </c>
      <c r="D4246">
        <v>122</v>
      </c>
      <c r="E4246">
        <v>0</v>
      </c>
      <c r="F4246">
        <v>0</v>
      </c>
      <c r="G4246">
        <v>0</v>
      </c>
      <c r="H4246">
        <v>122</v>
      </c>
      <c r="I4246" s="183" t="s">
        <v>1043</v>
      </c>
      <c r="J4246" s="183" t="s">
        <v>12060</v>
      </c>
      <c r="K4246">
        <v>0</v>
      </c>
      <c r="L4246">
        <v>122</v>
      </c>
    </row>
    <row r="4247" spans="1:12">
      <c r="A4247" s="183" t="s">
        <v>2230</v>
      </c>
      <c r="B4247" s="183" t="s">
        <v>1042</v>
      </c>
      <c r="C4247">
        <v>8809867705019</v>
      </c>
      <c r="D4247">
        <v>249</v>
      </c>
      <c r="E4247">
        <v>0</v>
      </c>
      <c r="F4247">
        <v>0</v>
      </c>
      <c r="G4247">
        <v>0</v>
      </c>
      <c r="H4247">
        <v>249</v>
      </c>
      <c r="I4247" s="183" t="s">
        <v>1043</v>
      </c>
      <c r="J4247" s="183" t="s">
        <v>12092</v>
      </c>
      <c r="K4247">
        <v>0</v>
      </c>
      <c r="L4247">
        <v>249</v>
      </c>
    </row>
    <row r="4248" spans="1:12">
      <c r="A4248" s="183" t="s">
        <v>2554</v>
      </c>
      <c r="B4248" s="183" t="s">
        <v>1178</v>
      </c>
      <c r="C4248">
        <v>8809867705095</v>
      </c>
      <c r="D4248">
        <v>167</v>
      </c>
      <c r="E4248">
        <v>0</v>
      </c>
      <c r="F4248">
        <v>0</v>
      </c>
      <c r="G4248">
        <v>0</v>
      </c>
      <c r="H4248">
        <v>167</v>
      </c>
      <c r="I4248" s="183" t="s">
        <v>1179</v>
      </c>
      <c r="J4248" s="183" t="s">
        <v>12091</v>
      </c>
      <c r="K4248">
        <v>0</v>
      </c>
      <c r="L4248">
        <v>167</v>
      </c>
    </row>
    <row r="4249" spans="1:12">
      <c r="A4249" s="183" t="s">
        <v>2069</v>
      </c>
      <c r="B4249" s="183" t="s">
        <v>1178</v>
      </c>
      <c r="C4249">
        <v>8809867705163</v>
      </c>
      <c r="D4249">
        <v>109</v>
      </c>
      <c r="E4249">
        <v>0</v>
      </c>
      <c r="F4249">
        <v>0</v>
      </c>
      <c r="G4249">
        <v>0</v>
      </c>
      <c r="H4249">
        <v>109</v>
      </c>
      <c r="I4249" s="183" t="s">
        <v>1179</v>
      </c>
      <c r="J4249" s="183" t="s">
        <v>12092</v>
      </c>
      <c r="K4249">
        <v>0</v>
      </c>
      <c r="L4249">
        <v>109</v>
      </c>
    </row>
    <row r="4250" spans="1:12">
      <c r="A4250" s="183" t="s">
        <v>1390</v>
      </c>
      <c r="B4250" s="183" t="s">
        <v>1178</v>
      </c>
      <c r="C4250">
        <v>8809867705187</v>
      </c>
      <c r="D4250">
        <v>136</v>
      </c>
      <c r="E4250">
        <v>0</v>
      </c>
      <c r="F4250">
        <v>0</v>
      </c>
      <c r="G4250">
        <v>0</v>
      </c>
      <c r="H4250">
        <v>136</v>
      </c>
      <c r="I4250" s="183" t="s">
        <v>1179</v>
      </c>
      <c r="J4250" s="183" t="s">
        <v>12092</v>
      </c>
      <c r="K4250">
        <v>0</v>
      </c>
      <c r="L4250">
        <v>136</v>
      </c>
    </row>
    <row r="4251" spans="1:12">
      <c r="A4251" s="183" t="s">
        <v>1571</v>
      </c>
      <c r="B4251" s="183" t="s">
        <v>1420</v>
      </c>
      <c r="C4251">
        <v>8809867705385</v>
      </c>
      <c r="D4251">
        <v>122</v>
      </c>
      <c r="E4251">
        <v>0</v>
      </c>
      <c r="F4251">
        <v>0</v>
      </c>
      <c r="G4251">
        <v>0</v>
      </c>
      <c r="H4251">
        <v>122</v>
      </c>
      <c r="I4251" s="183" t="s">
        <v>1421</v>
      </c>
      <c r="J4251" s="183" t="s">
        <v>12060</v>
      </c>
      <c r="K4251">
        <v>0</v>
      </c>
      <c r="L4251">
        <v>122</v>
      </c>
    </row>
    <row r="4252" spans="1:12">
      <c r="A4252" s="183" t="s">
        <v>2357</v>
      </c>
      <c r="B4252" s="183" t="s">
        <v>1420</v>
      </c>
      <c r="C4252">
        <v>8809867705477</v>
      </c>
      <c r="D4252">
        <v>123</v>
      </c>
      <c r="E4252">
        <v>0</v>
      </c>
      <c r="F4252">
        <v>0</v>
      </c>
      <c r="G4252">
        <v>0</v>
      </c>
      <c r="H4252">
        <v>123</v>
      </c>
      <c r="I4252" s="183" t="s">
        <v>1421</v>
      </c>
      <c r="J4252" s="183" t="s">
        <v>12048</v>
      </c>
      <c r="K4252">
        <v>0</v>
      </c>
      <c r="L4252">
        <v>123</v>
      </c>
    </row>
    <row r="4253" spans="1:12">
      <c r="A4253" s="183" t="s">
        <v>1575</v>
      </c>
      <c r="B4253" s="183" t="s">
        <v>1420</v>
      </c>
      <c r="C4253">
        <v>8809867705569</v>
      </c>
      <c r="D4253">
        <v>186</v>
      </c>
      <c r="E4253">
        <v>0</v>
      </c>
      <c r="F4253">
        <v>0</v>
      </c>
      <c r="G4253">
        <v>0</v>
      </c>
      <c r="H4253">
        <v>186</v>
      </c>
      <c r="I4253" s="183" t="s">
        <v>1421</v>
      </c>
      <c r="J4253" s="183" t="s">
        <v>12094</v>
      </c>
      <c r="K4253">
        <v>0</v>
      </c>
      <c r="L4253">
        <v>186</v>
      </c>
    </row>
    <row r="4254" spans="1:12">
      <c r="A4254" s="183" t="s">
        <v>3311</v>
      </c>
      <c r="B4254" s="183" t="s">
        <v>3312</v>
      </c>
      <c r="C4254">
        <v>8809959703909</v>
      </c>
      <c r="D4254">
        <v>162</v>
      </c>
      <c r="E4254">
        <v>0</v>
      </c>
      <c r="F4254">
        <v>0</v>
      </c>
      <c r="G4254">
        <v>0</v>
      </c>
      <c r="H4254">
        <v>162</v>
      </c>
      <c r="I4254" s="183" t="s">
        <v>3278</v>
      </c>
      <c r="J4254" s="183" t="s">
        <v>12060</v>
      </c>
      <c r="K4254">
        <v>0</v>
      </c>
      <c r="L4254">
        <v>162</v>
      </c>
    </row>
    <row r="4255" spans="1:12">
      <c r="A4255" s="183" t="s">
        <v>4869</v>
      </c>
      <c r="B4255" s="183" t="s">
        <v>4870</v>
      </c>
      <c r="C4255">
        <v>8809959704098</v>
      </c>
      <c r="D4255">
        <v>16</v>
      </c>
      <c r="E4255">
        <v>0</v>
      </c>
      <c r="F4255">
        <v>0</v>
      </c>
      <c r="G4255">
        <v>0</v>
      </c>
      <c r="H4255">
        <v>16</v>
      </c>
      <c r="I4255" s="183" t="s">
        <v>3278</v>
      </c>
      <c r="J4255" s="183" t="s">
        <v>12067</v>
      </c>
      <c r="K4255">
        <v>0</v>
      </c>
      <c r="L4255">
        <v>16</v>
      </c>
    </row>
    <row r="4256" spans="1:12">
      <c r="A4256" s="183" t="s">
        <v>3264</v>
      </c>
      <c r="B4256" s="183" t="s">
        <v>3265</v>
      </c>
      <c r="C4256">
        <v>8809959704289</v>
      </c>
      <c r="D4256">
        <v>30</v>
      </c>
      <c r="E4256">
        <v>0</v>
      </c>
      <c r="F4256">
        <v>0</v>
      </c>
      <c r="G4256">
        <v>0</v>
      </c>
      <c r="H4256">
        <v>30</v>
      </c>
      <c r="I4256" s="183" t="s">
        <v>3235</v>
      </c>
      <c r="J4256" s="183" t="s">
        <v>12059</v>
      </c>
      <c r="K4256">
        <v>0</v>
      </c>
      <c r="L4256">
        <v>30</v>
      </c>
    </row>
    <row r="4257" spans="1:12">
      <c r="A4257" s="183" t="s">
        <v>1391</v>
      </c>
      <c r="B4257" s="183" t="s">
        <v>982</v>
      </c>
      <c r="C4257">
        <v>18800203</v>
      </c>
      <c r="D4257" s="501">
        <v>1730</v>
      </c>
      <c r="E4257">
        <v>0</v>
      </c>
      <c r="F4257">
        <v>0</v>
      </c>
      <c r="G4257">
        <v>0</v>
      </c>
      <c r="H4257" s="501">
        <v>1730</v>
      </c>
      <c r="I4257" s="183" t="s">
        <v>983</v>
      </c>
      <c r="J4257" s="183" t="s">
        <v>12091</v>
      </c>
      <c r="K4257">
        <v>0</v>
      </c>
      <c r="L4257" s="501">
        <v>1730</v>
      </c>
    </row>
    <row r="4258" spans="1:12">
      <c r="A4258" s="183" t="s">
        <v>1148</v>
      </c>
      <c r="B4258" s="183" t="s">
        <v>982</v>
      </c>
      <c r="C4258">
        <v>18800204</v>
      </c>
      <c r="D4258" s="501">
        <v>1196</v>
      </c>
      <c r="E4258">
        <v>0</v>
      </c>
      <c r="F4258">
        <v>0</v>
      </c>
      <c r="G4258">
        <v>0</v>
      </c>
      <c r="H4258" s="501">
        <v>1196</v>
      </c>
      <c r="I4258" s="183" t="s">
        <v>983</v>
      </c>
      <c r="J4258" s="183" t="s">
        <v>12093</v>
      </c>
      <c r="K4258">
        <v>0</v>
      </c>
      <c r="L4258" s="501">
        <v>1196</v>
      </c>
    </row>
    <row r="4259" spans="1:12">
      <c r="A4259" s="183" t="s">
        <v>981</v>
      </c>
      <c r="B4259" s="183" t="s">
        <v>982</v>
      </c>
      <c r="C4259">
        <v>18800214</v>
      </c>
      <c r="D4259" s="501">
        <v>1348</v>
      </c>
      <c r="E4259">
        <v>0</v>
      </c>
      <c r="F4259">
        <v>0</v>
      </c>
      <c r="G4259">
        <v>0</v>
      </c>
      <c r="H4259" s="501">
        <v>1348</v>
      </c>
      <c r="I4259" s="183" t="s">
        <v>983</v>
      </c>
      <c r="J4259" s="183" t="s">
        <v>12091</v>
      </c>
      <c r="K4259">
        <v>0</v>
      </c>
      <c r="L4259" s="501">
        <v>1348</v>
      </c>
    </row>
    <row r="4260" spans="1:12">
      <c r="A4260" s="183" t="s">
        <v>986</v>
      </c>
      <c r="B4260" s="183" t="s">
        <v>982</v>
      </c>
      <c r="C4260">
        <v>18800218</v>
      </c>
      <c r="D4260" s="501">
        <v>1956</v>
      </c>
      <c r="E4260">
        <v>0</v>
      </c>
      <c r="F4260">
        <v>0</v>
      </c>
      <c r="G4260">
        <v>0</v>
      </c>
      <c r="H4260" s="501">
        <v>1956</v>
      </c>
      <c r="I4260" s="183" t="s">
        <v>983</v>
      </c>
      <c r="J4260" s="183" t="s">
        <v>12092</v>
      </c>
      <c r="K4260">
        <v>0</v>
      </c>
      <c r="L4260" s="501">
        <v>1956</v>
      </c>
    </row>
    <row r="4261" spans="1:12">
      <c r="A4261" s="183" t="s">
        <v>1288</v>
      </c>
      <c r="B4261" s="183" t="s">
        <v>1035</v>
      </c>
      <c r="C4261">
        <v>18810209</v>
      </c>
      <c r="D4261" s="501">
        <v>1059</v>
      </c>
      <c r="E4261">
        <v>0</v>
      </c>
      <c r="F4261">
        <v>0</v>
      </c>
      <c r="G4261">
        <v>0</v>
      </c>
      <c r="H4261" s="501">
        <v>1059</v>
      </c>
      <c r="I4261" s="183" t="s">
        <v>1036</v>
      </c>
      <c r="J4261" s="183" t="s">
        <v>12081</v>
      </c>
      <c r="K4261">
        <v>0</v>
      </c>
      <c r="L4261" s="501">
        <v>1059</v>
      </c>
    </row>
    <row r="4262" spans="1:12">
      <c r="A4262" s="183" t="s">
        <v>1552</v>
      </c>
      <c r="B4262" s="183" t="s">
        <v>1035</v>
      </c>
      <c r="C4262">
        <v>18810215</v>
      </c>
      <c r="D4262" s="501">
        <v>1066</v>
      </c>
      <c r="E4262">
        <v>0</v>
      </c>
      <c r="F4262">
        <v>0</v>
      </c>
      <c r="G4262">
        <v>0</v>
      </c>
      <c r="H4262" s="501">
        <v>1066</v>
      </c>
      <c r="I4262" s="183" t="s">
        <v>1036</v>
      </c>
      <c r="J4262" s="183" t="s">
        <v>12092</v>
      </c>
      <c r="K4262">
        <v>0</v>
      </c>
      <c r="L4262" s="501">
        <v>1066</v>
      </c>
    </row>
    <row r="4263" spans="1:12">
      <c r="A4263" s="183" t="s">
        <v>1140</v>
      </c>
      <c r="B4263" s="183" t="s">
        <v>1035</v>
      </c>
      <c r="C4263">
        <v>18810216</v>
      </c>
      <c r="D4263" s="501">
        <v>2126</v>
      </c>
      <c r="E4263">
        <v>0</v>
      </c>
      <c r="F4263">
        <v>0</v>
      </c>
      <c r="G4263">
        <v>0</v>
      </c>
      <c r="H4263" s="501">
        <v>2126</v>
      </c>
      <c r="I4263" s="183" t="s">
        <v>1036</v>
      </c>
      <c r="J4263" s="183" t="s">
        <v>12087</v>
      </c>
      <c r="K4263">
        <v>0</v>
      </c>
      <c r="L4263" s="501">
        <v>2126</v>
      </c>
    </row>
    <row r="4264" spans="1:12">
      <c r="A4264" s="183" t="s">
        <v>1397</v>
      </c>
      <c r="B4264" s="183" t="s">
        <v>1035</v>
      </c>
      <c r="C4264">
        <v>18810236</v>
      </c>
      <c r="D4264" s="501">
        <v>1280</v>
      </c>
      <c r="E4264">
        <v>0</v>
      </c>
      <c r="F4264">
        <v>0</v>
      </c>
      <c r="G4264">
        <v>0</v>
      </c>
      <c r="H4264" s="501">
        <v>1280</v>
      </c>
      <c r="I4264" s="183" t="s">
        <v>1036</v>
      </c>
      <c r="J4264" s="183" t="s">
        <v>12053</v>
      </c>
      <c r="K4264">
        <v>0</v>
      </c>
      <c r="L4264" s="501">
        <v>1280</v>
      </c>
    </row>
    <row r="4265" spans="1:12">
      <c r="A4265" s="183" t="s">
        <v>1285</v>
      </c>
      <c r="B4265" s="183" t="s">
        <v>1014</v>
      </c>
      <c r="C4265">
        <v>18820203</v>
      </c>
      <c r="D4265" s="501">
        <v>1487</v>
      </c>
      <c r="E4265">
        <v>0</v>
      </c>
      <c r="F4265">
        <v>0</v>
      </c>
      <c r="G4265">
        <v>0</v>
      </c>
      <c r="H4265" s="501">
        <v>1487</v>
      </c>
      <c r="I4265" s="183" t="s">
        <v>1015</v>
      </c>
      <c r="J4265" s="183" t="s">
        <v>12093</v>
      </c>
      <c r="K4265">
        <v>0</v>
      </c>
      <c r="L4265" s="501">
        <v>1487</v>
      </c>
    </row>
    <row r="4266" spans="1:12">
      <c r="A4266" s="183" t="s">
        <v>3571</v>
      </c>
      <c r="B4266" s="183" t="s">
        <v>1014</v>
      </c>
      <c r="C4266">
        <v>18820205</v>
      </c>
      <c r="D4266">
        <v>288</v>
      </c>
      <c r="E4266">
        <v>0</v>
      </c>
      <c r="F4266">
        <v>0</v>
      </c>
      <c r="G4266">
        <v>0</v>
      </c>
      <c r="H4266">
        <v>288</v>
      </c>
      <c r="I4266" s="183" t="s">
        <v>1015</v>
      </c>
      <c r="J4266" s="183" t="s">
        <v>12067</v>
      </c>
      <c r="K4266">
        <v>0</v>
      </c>
      <c r="L4266">
        <v>288</v>
      </c>
    </row>
    <row r="4267" spans="1:12">
      <c r="A4267" s="183" t="s">
        <v>1146</v>
      </c>
      <c r="B4267" s="183" t="s">
        <v>1014</v>
      </c>
      <c r="C4267">
        <v>18820208</v>
      </c>
      <c r="D4267" s="501">
        <v>1352</v>
      </c>
      <c r="E4267">
        <v>0</v>
      </c>
      <c r="F4267">
        <v>0</v>
      </c>
      <c r="G4267">
        <v>0</v>
      </c>
      <c r="H4267" s="501">
        <v>1352</v>
      </c>
      <c r="I4267" s="183" t="s">
        <v>1015</v>
      </c>
      <c r="J4267" s="183" t="s">
        <v>12053</v>
      </c>
      <c r="K4267">
        <v>0</v>
      </c>
      <c r="L4267" s="501">
        <v>1352</v>
      </c>
    </row>
    <row r="4268" spans="1:12">
      <c r="A4268" s="183" t="s">
        <v>5200</v>
      </c>
      <c r="B4268" s="183" t="s">
        <v>1014</v>
      </c>
      <c r="C4268">
        <v>18820215</v>
      </c>
      <c r="D4268">
        <v>30</v>
      </c>
      <c r="E4268">
        <v>0</v>
      </c>
      <c r="F4268">
        <v>0</v>
      </c>
      <c r="G4268">
        <v>0</v>
      </c>
      <c r="H4268">
        <v>30</v>
      </c>
      <c r="I4268" s="183" t="s">
        <v>1015</v>
      </c>
      <c r="J4268" s="183" t="s">
        <v>12067</v>
      </c>
      <c r="K4268">
        <v>0</v>
      </c>
      <c r="L4268">
        <v>30</v>
      </c>
    </row>
    <row r="4269" spans="1:12">
      <c r="A4269" s="183" t="s">
        <v>3765</v>
      </c>
      <c r="B4269" s="183" t="s">
        <v>1014</v>
      </c>
      <c r="C4269">
        <v>18820220</v>
      </c>
      <c r="D4269">
        <v>55</v>
      </c>
      <c r="E4269">
        <v>0</v>
      </c>
      <c r="F4269">
        <v>0</v>
      </c>
      <c r="G4269">
        <v>0</v>
      </c>
      <c r="H4269">
        <v>55</v>
      </c>
      <c r="I4269" s="183" t="s">
        <v>1015</v>
      </c>
      <c r="J4269" s="183" t="s">
        <v>12081</v>
      </c>
      <c r="K4269">
        <v>0</v>
      </c>
      <c r="L4269">
        <v>55</v>
      </c>
    </row>
    <row r="4270" spans="1:12">
      <c r="A4270" s="183" t="s">
        <v>1290</v>
      </c>
      <c r="B4270" s="183" t="s">
        <v>1014</v>
      </c>
      <c r="C4270">
        <v>18820232</v>
      </c>
      <c r="D4270">
        <v>481</v>
      </c>
      <c r="E4270">
        <v>0</v>
      </c>
      <c r="F4270">
        <v>0</v>
      </c>
      <c r="G4270">
        <v>0</v>
      </c>
      <c r="H4270">
        <v>481</v>
      </c>
      <c r="I4270" s="183" t="s">
        <v>1015</v>
      </c>
      <c r="J4270" s="183" t="s">
        <v>12081</v>
      </c>
      <c r="K4270">
        <v>0</v>
      </c>
      <c r="L4270">
        <v>481</v>
      </c>
    </row>
    <row r="4271" spans="1:12">
      <c r="A4271" s="183" t="s">
        <v>2720</v>
      </c>
      <c r="B4271" s="183" t="s">
        <v>1203</v>
      </c>
      <c r="C4271">
        <v>18830228</v>
      </c>
      <c r="D4271" s="501">
        <v>1260</v>
      </c>
      <c r="E4271">
        <v>0</v>
      </c>
      <c r="F4271">
        <v>0</v>
      </c>
      <c r="G4271">
        <v>0</v>
      </c>
      <c r="H4271" s="501">
        <v>1260</v>
      </c>
      <c r="I4271" s="183" t="s">
        <v>1204</v>
      </c>
      <c r="J4271" s="183" t="s">
        <v>12094</v>
      </c>
      <c r="K4271">
        <v>0</v>
      </c>
      <c r="L4271" s="501">
        <v>1260</v>
      </c>
    </row>
    <row r="4272" spans="1:12">
      <c r="A4272" s="183" t="s">
        <v>2697</v>
      </c>
      <c r="B4272" s="183" t="s">
        <v>1206</v>
      </c>
      <c r="C4272">
        <v>18840205</v>
      </c>
      <c r="D4272" s="501">
        <v>2531</v>
      </c>
      <c r="E4272">
        <v>0</v>
      </c>
      <c r="F4272">
        <v>0</v>
      </c>
      <c r="G4272">
        <v>0</v>
      </c>
      <c r="H4272" s="501">
        <v>2531</v>
      </c>
      <c r="I4272" s="183" t="s">
        <v>1207</v>
      </c>
      <c r="J4272" s="183" t="s">
        <v>12094</v>
      </c>
      <c r="K4272">
        <v>0</v>
      </c>
      <c r="L4272" s="501">
        <v>2531</v>
      </c>
    </row>
    <row r="4273" spans="1:12">
      <c r="A4273" s="183" t="s">
        <v>2352</v>
      </c>
      <c r="B4273" s="183" t="s">
        <v>1206</v>
      </c>
      <c r="C4273">
        <v>18840207</v>
      </c>
      <c r="D4273" s="501">
        <v>2618</v>
      </c>
      <c r="E4273">
        <v>0</v>
      </c>
      <c r="F4273">
        <v>0</v>
      </c>
      <c r="G4273">
        <v>0</v>
      </c>
      <c r="H4273" s="501">
        <v>2618</v>
      </c>
      <c r="I4273" s="183" t="s">
        <v>1207</v>
      </c>
      <c r="J4273" s="183" t="s">
        <v>12048</v>
      </c>
      <c r="K4273">
        <v>0</v>
      </c>
      <c r="L4273" s="501">
        <v>2618</v>
      </c>
    </row>
    <row r="4274" spans="1:12">
      <c r="A4274" s="183" t="s">
        <v>1727</v>
      </c>
      <c r="B4274" s="183" t="s">
        <v>1206</v>
      </c>
      <c r="C4274">
        <v>18840219</v>
      </c>
      <c r="D4274" s="501">
        <v>3069</v>
      </c>
      <c r="E4274">
        <v>0</v>
      </c>
      <c r="F4274">
        <v>0</v>
      </c>
      <c r="G4274">
        <v>0</v>
      </c>
      <c r="H4274" s="501">
        <v>3069</v>
      </c>
      <c r="I4274" s="183" t="s">
        <v>1207</v>
      </c>
      <c r="J4274" s="183" t="s">
        <v>12093</v>
      </c>
      <c r="K4274">
        <v>0</v>
      </c>
      <c r="L4274" s="501">
        <v>3069</v>
      </c>
    </row>
    <row r="4275" spans="1:12">
      <c r="A4275" s="183" t="s">
        <v>2555</v>
      </c>
      <c r="B4275" s="183" t="s">
        <v>1206</v>
      </c>
      <c r="C4275">
        <v>18840224</v>
      </c>
      <c r="D4275" s="501">
        <v>2297</v>
      </c>
      <c r="E4275">
        <v>0</v>
      </c>
      <c r="F4275">
        <v>0</v>
      </c>
      <c r="G4275">
        <v>0</v>
      </c>
      <c r="H4275" s="501">
        <v>2297</v>
      </c>
      <c r="I4275" s="183" t="s">
        <v>1207</v>
      </c>
      <c r="J4275" s="183" t="s">
        <v>12093</v>
      </c>
      <c r="K4275">
        <v>0</v>
      </c>
      <c r="L4275" s="501">
        <v>2297</v>
      </c>
    </row>
    <row r="4276" spans="1:12">
      <c r="A4276" s="183" t="s">
        <v>1909</v>
      </c>
      <c r="B4276" s="183" t="s">
        <v>1206</v>
      </c>
      <c r="C4276">
        <v>18840228</v>
      </c>
      <c r="D4276" s="501">
        <v>2023</v>
      </c>
      <c r="E4276">
        <v>0</v>
      </c>
      <c r="F4276">
        <v>0</v>
      </c>
      <c r="G4276">
        <v>0</v>
      </c>
      <c r="H4276" s="501">
        <v>2023</v>
      </c>
      <c r="I4276" s="183" t="s">
        <v>1207</v>
      </c>
      <c r="J4276" s="183" t="s">
        <v>12092</v>
      </c>
      <c r="K4276">
        <v>0</v>
      </c>
      <c r="L4276" s="501">
        <v>2023</v>
      </c>
    </row>
    <row r="4277" spans="1:12">
      <c r="A4277" s="183" t="s">
        <v>6337</v>
      </c>
      <c r="B4277" s="183" t="s">
        <v>6338</v>
      </c>
      <c r="C4277">
        <v>8806392046594</v>
      </c>
      <c r="D4277">
        <v>434</v>
      </c>
      <c r="E4277">
        <v>0</v>
      </c>
      <c r="F4277">
        <v>1</v>
      </c>
      <c r="G4277">
        <v>0</v>
      </c>
      <c r="H4277">
        <v>435</v>
      </c>
      <c r="I4277" s="183" t="s">
        <v>6339</v>
      </c>
      <c r="J4277" s="183" t="s">
        <v>12091</v>
      </c>
      <c r="K4277">
        <v>0</v>
      </c>
      <c r="L4277">
        <v>434</v>
      </c>
    </row>
    <row r="4278" spans="1:12">
      <c r="A4278" s="183" t="s">
        <v>6346</v>
      </c>
      <c r="B4278" s="183" t="s">
        <v>6338</v>
      </c>
      <c r="C4278">
        <v>8806392046761</v>
      </c>
      <c r="D4278">
        <v>201</v>
      </c>
      <c r="E4278">
        <v>0</v>
      </c>
      <c r="F4278">
        <v>0</v>
      </c>
      <c r="G4278">
        <v>0</v>
      </c>
      <c r="H4278">
        <v>201</v>
      </c>
      <c r="I4278" s="183" t="s">
        <v>6339</v>
      </c>
      <c r="J4278" s="183" t="s">
        <v>12054</v>
      </c>
      <c r="K4278">
        <v>0</v>
      </c>
      <c r="L4278">
        <v>201</v>
      </c>
    </row>
    <row r="4279" spans="1:12">
      <c r="A4279" s="183" t="s">
        <v>3781</v>
      </c>
      <c r="B4279" s="183" t="s">
        <v>1029</v>
      </c>
      <c r="C4279">
        <v>8806392046839</v>
      </c>
      <c r="D4279">
        <v>242</v>
      </c>
      <c r="E4279">
        <v>0</v>
      </c>
      <c r="F4279">
        <v>0</v>
      </c>
      <c r="G4279">
        <v>0</v>
      </c>
      <c r="H4279">
        <v>242</v>
      </c>
      <c r="I4279" s="183" t="s">
        <v>1030</v>
      </c>
      <c r="J4279" s="183" t="s">
        <v>12087</v>
      </c>
      <c r="K4279">
        <v>0</v>
      </c>
      <c r="L4279">
        <v>242</v>
      </c>
    </row>
    <row r="4280" spans="1:12">
      <c r="A4280" s="183" t="s">
        <v>6003</v>
      </c>
      <c r="B4280" s="183" t="s">
        <v>5995</v>
      </c>
      <c r="C4280">
        <v>8800322957721</v>
      </c>
      <c r="D4280">
        <v>181</v>
      </c>
      <c r="E4280">
        <v>0</v>
      </c>
      <c r="F4280">
        <v>0</v>
      </c>
      <c r="G4280">
        <v>0</v>
      </c>
      <c r="H4280">
        <v>181</v>
      </c>
      <c r="I4280" s="183" t="s">
        <v>5999</v>
      </c>
      <c r="J4280" s="183" t="s">
        <v>12063</v>
      </c>
      <c r="K4280">
        <v>0</v>
      </c>
      <c r="L4280">
        <v>181</v>
      </c>
    </row>
    <row r="4281" spans="1:12">
      <c r="A4281" s="183" t="s">
        <v>6004</v>
      </c>
      <c r="B4281" s="183" t="s">
        <v>5995</v>
      </c>
      <c r="C4281">
        <v>8800322957769</v>
      </c>
      <c r="D4281">
        <v>106</v>
      </c>
      <c r="E4281">
        <v>0</v>
      </c>
      <c r="F4281">
        <v>0</v>
      </c>
      <c r="G4281">
        <v>0</v>
      </c>
      <c r="H4281">
        <v>106</v>
      </c>
      <c r="I4281" s="183" t="s">
        <v>5999</v>
      </c>
      <c r="J4281" s="183" t="s">
        <v>12066</v>
      </c>
      <c r="K4281">
        <v>0</v>
      </c>
      <c r="L4281">
        <v>106</v>
      </c>
    </row>
    <row r="4282" spans="1:12">
      <c r="A4282" s="183" t="s">
        <v>6005</v>
      </c>
      <c r="B4282" s="183" t="s">
        <v>5995</v>
      </c>
      <c r="C4282">
        <v>8800322957790</v>
      </c>
      <c r="D4282">
        <v>82</v>
      </c>
      <c r="E4282">
        <v>0</v>
      </c>
      <c r="F4282">
        <v>0</v>
      </c>
      <c r="G4282">
        <v>0</v>
      </c>
      <c r="H4282">
        <v>82</v>
      </c>
      <c r="I4282" s="183" t="s">
        <v>5999</v>
      </c>
      <c r="J4282" s="183" t="s">
        <v>12052</v>
      </c>
      <c r="K4282">
        <v>0</v>
      </c>
      <c r="L4282">
        <v>82</v>
      </c>
    </row>
    <row r="4283" spans="1:12">
      <c r="A4283" s="183" t="s">
        <v>8995</v>
      </c>
      <c r="B4283" s="183" t="s">
        <v>8644</v>
      </c>
      <c r="C4283">
        <v>8800358456540</v>
      </c>
      <c r="D4283">
        <v>340</v>
      </c>
      <c r="E4283">
        <v>0</v>
      </c>
      <c r="F4283">
        <v>0</v>
      </c>
      <c r="G4283">
        <v>0</v>
      </c>
      <c r="H4283">
        <v>340</v>
      </c>
      <c r="I4283" s="183" t="s">
        <v>8996</v>
      </c>
      <c r="J4283" s="183" t="s">
        <v>12048</v>
      </c>
      <c r="K4283">
        <v>0</v>
      </c>
      <c r="L4283">
        <v>340</v>
      </c>
    </row>
    <row r="4284" spans="1:12">
      <c r="A4284" s="183" t="s">
        <v>8997</v>
      </c>
      <c r="B4284" s="183" t="s">
        <v>8644</v>
      </c>
      <c r="C4284">
        <v>8800358456564</v>
      </c>
      <c r="D4284">
        <v>340</v>
      </c>
      <c r="E4284">
        <v>0</v>
      </c>
      <c r="F4284">
        <v>0</v>
      </c>
      <c r="G4284">
        <v>0</v>
      </c>
      <c r="H4284">
        <v>340</v>
      </c>
      <c r="I4284" s="183" t="s">
        <v>8996</v>
      </c>
      <c r="J4284" s="183" t="s">
        <v>12087</v>
      </c>
      <c r="K4284">
        <v>0</v>
      </c>
      <c r="L4284">
        <v>340</v>
      </c>
    </row>
    <row r="4285" spans="1:12">
      <c r="A4285" s="183" t="s">
        <v>8998</v>
      </c>
      <c r="B4285" s="183" t="s">
        <v>8644</v>
      </c>
      <c r="C4285">
        <v>8800358456649</v>
      </c>
      <c r="D4285">
        <v>320</v>
      </c>
      <c r="E4285">
        <v>0</v>
      </c>
      <c r="F4285">
        <v>0</v>
      </c>
      <c r="G4285">
        <v>0</v>
      </c>
      <c r="H4285">
        <v>320</v>
      </c>
      <c r="I4285" s="183" t="s">
        <v>8996</v>
      </c>
      <c r="J4285" s="183" t="s">
        <v>12087</v>
      </c>
      <c r="K4285">
        <v>0</v>
      </c>
      <c r="L4285">
        <v>320</v>
      </c>
    </row>
    <row r="4286" spans="1:12">
      <c r="A4286" s="183" t="s">
        <v>586</v>
      </c>
      <c r="B4286" s="183" t="s">
        <v>1001</v>
      </c>
      <c r="C4286">
        <v>33050221</v>
      </c>
      <c r="D4286">
        <v>39</v>
      </c>
      <c r="E4286">
        <v>0</v>
      </c>
      <c r="F4286">
        <v>33</v>
      </c>
      <c r="G4286">
        <v>0</v>
      </c>
      <c r="H4286">
        <v>72</v>
      </c>
      <c r="I4286" s="183" t="s">
        <v>1002</v>
      </c>
      <c r="J4286" s="183" t="s">
        <v>12055</v>
      </c>
      <c r="K4286">
        <v>0</v>
      </c>
      <c r="L4286">
        <v>39</v>
      </c>
    </row>
    <row r="4287" spans="1:12">
      <c r="A4287" s="183" t="s">
        <v>4171</v>
      </c>
      <c r="B4287" s="183" t="s">
        <v>979</v>
      </c>
      <c r="C4287">
        <v>35010208</v>
      </c>
      <c r="D4287">
        <v>51</v>
      </c>
      <c r="E4287">
        <v>0</v>
      </c>
      <c r="F4287">
        <v>36</v>
      </c>
      <c r="G4287">
        <v>0</v>
      </c>
      <c r="H4287">
        <v>87</v>
      </c>
      <c r="I4287" s="183" t="s">
        <v>980</v>
      </c>
      <c r="J4287" s="183" t="s">
        <v>12052</v>
      </c>
      <c r="K4287">
        <v>0</v>
      </c>
      <c r="L4287">
        <v>51</v>
      </c>
    </row>
    <row r="4288" spans="1:12">
      <c r="A4288" s="183" t="s">
        <v>3550</v>
      </c>
      <c r="B4288" s="183" t="s">
        <v>979</v>
      </c>
      <c r="C4288">
        <v>35010214</v>
      </c>
      <c r="D4288">
        <v>61</v>
      </c>
      <c r="E4288">
        <v>0</v>
      </c>
      <c r="F4288">
        <v>7</v>
      </c>
      <c r="G4288">
        <v>0</v>
      </c>
      <c r="H4288">
        <v>68</v>
      </c>
      <c r="I4288" s="183" t="s">
        <v>980</v>
      </c>
      <c r="J4288" s="183" t="s">
        <v>12056</v>
      </c>
      <c r="K4288">
        <v>0</v>
      </c>
      <c r="L4288">
        <v>61</v>
      </c>
    </row>
    <row r="4289" spans="1:12">
      <c r="A4289" s="183" t="s">
        <v>608</v>
      </c>
      <c r="B4289" s="183" t="s">
        <v>979</v>
      </c>
      <c r="C4289">
        <v>35010234</v>
      </c>
      <c r="D4289">
        <v>0</v>
      </c>
      <c r="E4289">
        <v>0</v>
      </c>
      <c r="F4289">
        <v>12</v>
      </c>
      <c r="G4289">
        <v>0</v>
      </c>
      <c r="H4289">
        <v>12</v>
      </c>
      <c r="I4289" s="183" t="s">
        <v>980</v>
      </c>
      <c r="J4289" s="183" t="s">
        <v>12081</v>
      </c>
      <c r="K4289">
        <v>0</v>
      </c>
      <c r="L4289">
        <v>0</v>
      </c>
    </row>
    <row r="4290" spans="1:12">
      <c r="A4290" s="183" t="s">
        <v>610</v>
      </c>
      <c r="B4290" s="183" t="s">
        <v>979</v>
      </c>
      <c r="C4290">
        <v>35010238</v>
      </c>
      <c r="D4290">
        <v>0</v>
      </c>
      <c r="E4290">
        <v>0</v>
      </c>
      <c r="F4290">
        <v>10</v>
      </c>
      <c r="G4290">
        <v>0</v>
      </c>
      <c r="H4290">
        <v>10</v>
      </c>
      <c r="I4290" s="183" t="s">
        <v>980</v>
      </c>
      <c r="J4290" s="183" t="s">
        <v>12093</v>
      </c>
      <c r="K4290">
        <v>0</v>
      </c>
      <c r="L4290">
        <v>0</v>
      </c>
    </row>
    <row r="4291" spans="1:12">
      <c r="A4291" s="183" t="s">
        <v>623</v>
      </c>
      <c r="B4291" s="183" t="s">
        <v>1008</v>
      </c>
      <c r="C4291">
        <v>35020220</v>
      </c>
      <c r="D4291">
        <v>75</v>
      </c>
      <c r="E4291">
        <v>0</v>
      </c>
      <c r="F4291">
        <v>12</v>
      </c>
      <c r="G4291">
        <v>0</v>
      </c>
      <c r="H4291">
        <v>87</v>
      </c>
      <c r="I4291" s="183" t="s">
        <v>1009</v>
      </c>
      <c r="J4291" s="183" t="s">
        <v>12060</v>
      </c>
      <c r="K4291">
        <v>0</v>
      </c>
      <c r="L4291">
        <v>75</v>
      </c>
    </row>
    <row r="4292" spans="1:12">
      <c r="A4292" s="183" t="s">
        <v>629</v>
      </c>
      <c r="B4292" s="183" t="s">
        <v>1008</v>
      </c>
      <c r="C4292">
        <v>35020230</v>
      </c>
      <c r="D4292">
        <v>0</v>
      </c>
      <c r="E4292">
        <v>0</v>
      </c>
      <c r="F4292">
        <v>17</v>
      </c>
      <c r="G4292">
        <v>0</v>
      </c>
      <c r="H4292">
        <v>17</v>
      </c>
      <c r="I4292" s="183" t="s">
        <v>1009</v>
      </c>
      <c r="J4292" s="183" t="s">
        <v>12057</v>
      </c>
      <c r="K4292">
        <v>0</v>
      </c>
      <c r="L4292">
        <v>0</v>
      </c>
    </row>
    <row r="4293" spans="1:12">
      <c r="A4293" s="183" t="s">
        <v>8999</v>
      </c>
      <c r="B4293" s="183" t="s">
        <v>8646</v>
      </c>
      <c r="C4293">
        <v>8800358456830</v>
      </c>
      <c r="D4293">
        <v>300</v>
      </c>
      <c r="E4293">
        <v>0</v>
      </c>
      <c r="F4293">
        <v>0</v>
      </c>
      <c r="G4293">
        <v>0</v>
      </c>
      <c r="H4293">
        <v>300</v>
      </c>
      <c r="I4293" s="183" t="s">
        <v>9000</v>
      </c>
      <c r="J4293" s="183" t="s">
        <v>12055</v>
      </c>
      <c r="K4293">
        <v>0</v>
      </c>
      <c r="L4293">
        <v>300</v>
      </c>
    </row>
    <row r="4294" spans="1:12">
      <c r="A4294" s="183" t="s">
        <v>9001</v>
      </c>
      <c r="B4294" s="183" t="s">
        <v>8645</v>
      </c>
      <c r="C4294">
        <v>8800358456922</v>
      </c>
      <c r="D4294">
        <v>437</v>
      </c>
      <c r="E4294">
        <v>0</v>
      </c>
      <c r="F4294">
        <v>0</v>
      </c>
      <c r="G4294">
        <v>0</v>
      </c>
      <c r="H4294">
        <v>437</v>
      </c>
      <c r="I4294" s="183" t="s">
        <v>9002</v>
      </c>
      <c r="J4294" s="183" t="s">
        <v>12048</v>
      </c>
      <c r="K4294">
        <v>0</v>
      </c>
      <c r="L4294">
        <v>437</v>
      </c>
    </row>
    <row r="4295" spans="1:12">
      <c r="A4295" s="183" t="s">
        <v>9179</v>
      </c>
      <c r="B4295" s="183" t="s">
        <v>8645</v>
      </c>
      <c r="C4295">
        <v>8800358457073</v>
      </c>
      <c r="D4295">
        <v>496</v>
      </c>
      <c r="E4295">
        <v>0</v>
      </c>
      <c r="F4295">
        <v>0</v>
      </c>
      <c r="G4295">
        <v>0</v>
      </c>
      <c r="H4295">
        <v>496</v>
      </c>
      <c r="I4295" s="183" t="s">
        <v>9002</v>
      </c>
      <c r="J4295" s="183" t="s">
        <v>12066</v>
      </c>
      <c r="K4295">
        <v>0</v>
      </c>
      <c r="L4295">
        <v>496</v>
      </c>
    </row>
    <row r="4296" spans="1:12">
      <c r="A4296" s="183" t="s">
        <v>8823</v>
      </c>
      <c r="B4296" s="183" t="s">
        <v>8648</v>
      </c>
      <c r="C4296">
        <v>8800358457257</v>
      </c>
      <c r="D4296">
        <v>262</v>
      </c>
      <c r="E4296">
        <v>0</v>
      </c>
      <c r="F4296">
        <v>0</v>
      </c>
      <c r="G4296">
        <v>0</v>
      </c>
      <c r="H4296">
        <v>262</v>
      </c>
      <c r="I4296" s="183" t="s">
        <v>8824</v>
      </c>
      <c r="J4296" s="183" t="s">
        <v>12048</v>
      </c>
      <c r="K4296">
        <v>0</v>
      </c>
      <c r="L4296">
        <v>262</v>
      </c>
    </row>
    <row r="4297" spans="1:12">
      <c r="A4297" s="183" t="s">
        <v>8825</v>
      </c>
      <c r="B4297" s="183" t="s">
        <v>8648</v>
      </c>
      <c r="C4297">
        <v>8800358457332</v>
      </c>
      <c r="D4297">
        <v>218</v>
      </c>
      <c r="E4297">
        <v>0</v>
      </c>
      <c r="F4297">
        <v>0</v>
      </c>
      <c r="G4297">
        <v>0</v>
      </c>
      <c r="H4297">
        <v>218</v>
      </c>
      <c r="I4297" s="183" t="s">
        <v>8824</v>
      </c>
      <c r="J4297" s="183" t="s">
        <v>12095</v>
      </c>
      <c r="K4297">
        <v>0</v>
      </c>
      <c r="L4297">
        <v>218</v>
      </c>
    </row>
    <row r="4298" spans="1:12">
      <c r="A4298" s="183" t="s">
        <v>8685</v>
      </c>
      <c r="B4298" s="183" t="s">
        <v>8648</v>
      </c>
      <c r="C4298">
        <v>8800358457424</v>
      </c>
      <c r="D4298">
        <v>288</v>
      </c>
      <c r="E4298">
        <v>0</v>
      </c>
      <c r="F4298">
        <v>0</v>
      </c>
      <c r="G4298">
        <v>0</v>
      </c>
      <c r="H4298">
        <v>288</v>
      </c>
      <c r="I4298" s="183" t="s">
        <v>8649</v>
      </c>
      <c r="J4298" s="183" t="s">
        <v>12063</v>
      </c>
      <c r="K4298">
        <v>0</v>
      </c>
      <c r="L4298">
        <v>288</v>
      </c>
    </row>
    <row r="4299" spans="1:12">
      <c r="A4299" s="183" t="s">
        <v>8686</v>
      </c>
      <c r="B4299" s="183" t="s">
        <v>8648</v>
      </c>
      <c r="C4299">
        <v>8800358457554</v>
      </c>
      <c r="D4299">
        <v>263</v>
      </c>
      <c r="E4299">
        <v>0</v>
      </c>
      <c r="F4299">
        <v>0</v>
      </c>
      <c r="G4299">
        <v>0</v>
      </c>
      <c r="H4299">
        <v>263</v>
      </c>
      <c r="I4299" s="183" t="s">
        <v>8649</v>
      </c>
      <c r="J4299" s="183" t="s">
        <v>12055</v>
      </c>
      <c r="K4299">
        <v>0</v>
      </c>
      <c r="L4299">
        <v>263</v>
      </c>
    </row>
    <row r="4300" spans="1:12">
      <c r="A4300" s="183" t="s">
        <v>8684</v>
      </c>
      <c r="B4300" s="183" t="s">
        <v>8648</v>
      </c>
      <c r="C4300">
        <v>8800358457592</v>
      </c>
      <c r="D4300">
        <v>342</v>
      </c>
      <c r="E4300">
        <v>0</v>
      </c>
      <c r="F4300">
        <v>0</v>
      </c>
      <c r="G4300">
        <v>0</v>
      </c>
      <c r="H4300">
        <v>342</v>
      </c>
      <c r="I4300" s="183" t="s">
        <v>8649</v>
      </c>
      <c r="J4300" s="183" t="s">
        <v>12055</v>
      </c>
      <c r="K4300">
        <v>0</v>
      </c>
      <c r="L4300">
        <v>342</v>
      </c>
    </row>
    <row r="4301" spans="1:12">
      <c r="A4301" s="183" t="s">
        <v>8683</v>
      </c>
      <c r="B4301" s="183" t="s">
        <v>8648</v>
      </c>
      <c r="C4301">
        <v>8800358457615</v>
      </c>
      <c r="D4301">
        <v>364</v>
      </c>
      <c r="E4301">
        <v>0</v>
      </c>
      <c r="F4301">
        <v>0</v>
      </c>
      <c r="G4301">
        <v>0</v>
      </c>
      <c r="H4301">
        <v>364</v>
      </c>
      <c r="I4301" s="183" t="s">
        <v>8649</v>
      </c>
      <c r="J4301" s="183" t="s">
        <v>12087</v>
      </c>
      <c r="K4301">
        <v>0</v>
      </c>
      <c r="L4301">
        <v>364</v>
      </c>
    </row>
    <row r="4302" spans="1:12">
      <c r="A4302" s="183" t="s">
        <v>9003</v>
      </c>
      <c r="B4302" s="183" t="s">
        <v>9004</v>
      </c>
      <c r="C4302">
        <v>8800358459046</v>
      </c>
      <c r="D4302">
        <v>130</v>
      </c>
      <c r="E4302">
        <v>0</v>
      </c>
      <c r="F4302">
        <v>0</v>
      </c>
      <c r="G4302">
        <v>0</v>
      </c>
      <c r="H4302">
        <v>130</v>
      </c>
      <c r="I4302" s="183" t="s">
        <v>9005</v>
      </c>
      <c r="J4302" s="183" t="s">
        <v>12097</v>
      </c>
      <c r="K4302">
        <v>0</v>
      </c>
      <c r="L4302">
        <v>130</v>
      </c>
    </row>
    <row r="4303" spans="1:12">
      <c r="A4303" s="183" t="s">
        <v>9006</v>
      </c>
      <c r="B4303" s="183" t="s">
        <v>9004</v>
      </c>
      <c r="C4303">
        <v>8800358459138</v>
      </c>
      <c r="D4303">
        <v>130</v>
      </c>
      <c r="E4303">
        <v>0</v>
      </c>
      <c r="F4303">
        <v>0</v>
      </c>
      <c r="G4303">
        <v>0</v>
      </c>
      <c r="H4303">
        <v>130</v>
      </c>
      <c r="I4303" s="183" t="s">
        <v>9005</v>
      </c>
      <c r="J4303" s="183" t="s">
        <v>12063</v>
      </c>
      <c r="K4303">
        <v>0</v>
      </c>
      <c r="L4303">
        <v>130</v>
      </c>
    </row>
    <row r="4304" spans="1:12">
      <c r="A4304" s="183" t="s">
        <v>9007</v>
      </c>
      <c r="B4304" s="183" t="s">
        <v>9008</v>
      </c>
      <c r="C4304">
        <v>8800358459237</v>
      </c>
      <c r="D4304">
        <v>200</v>
      </c>
      <c r="E4304">
        <v>0</v>
      </c>
      <c r="F4304">
        <v>0</v>
      </c>
      <c r="G4304">
        <v>0</v>
      </c>
      <c r="H4304">
        <v>200</v>
      </c>
      <c r="I4304" s="183" t="s">
        <v>9009</v>
      </c>
      <c r="J4304" s="183" t="s">
        <v>12048</v>
      </c>
      <c r="K4304">
        <v>0</v>
      </c>
      <c r="L4304">
        <v>200</v>
      </c>
    </row>
    <row r="4305" spans="1:12">
      <c r="A4305" s="183" t="s">
        <v>9010</v>
      </c>
      <c r="B4305" s="183" t="s">
        <v>9008</v>
      </c>
      <c r="C4305">
        <v>8800358459336</v>
      </c>
      <c r="D4305">
        <v>130</v>
      </c>
      <c r="E4305">
        <v>0</v>
      </c>
      <c r="F4305">
        <v>0</v>
      </c>
      <c r="G4305">
        <v>0</v>
      </c>
      <c r="H4305">
        <v>130</v>
      </c>
      <c r="I4305" s="183" t="s">
        <v>9009</v>
      </c>
      <c r="J4305" s="183" t="s">
        <v>12055</v>
      </c>
      <c r="K4305">
        <v>0</v>
      </c>
      <c r="L4305">
        <v>130</v>
      </c>
    </row>
    <row r="4306" spans="1:12">
      <c r="A4306" s="183" t="s">
        <v>9011</v>
      </c>
      <c r="B4306" s="183" t="s">
        <v>9008</v>
      </c>
      <c r="C4306">
        <v>8800358459398</v>
      </c>
      <c r="D4306">
        <v>130</v>
      </c>
      <c r="E4306">
        <v>0</v>
      </c>
      <c r="F4306">
        <v>0</v>
      </c>
      <c r="G4306">
        <v>0</v>
      </c>
      <c r="H4306">
        <v>130</v>
      </c>
      <c r="I4306" s="183" t="s">
        <v>9009</v>
      </c>
      <c r="J4306" s="183" t="s">
        <v>12066</v>
      </c>
      <c r="K4306">
        <v>0</v>
      </c>
      <c r="L4306">
        <v>130</v>
      </c>
    </row>
    <row r="4307" spans="1:12">
      <c r="A4307" s="183" t="s">
        <v>9012</v>
      </c>
      <c r="B4307" s="183" t="s">
        <v>9013</v>
      </c>
      <c r="C4307">
        <v>8800358459497</v>
      </c>
      <c r="D4307">
        <v>130</v>
      </c>
      <c r="E4307">
        <v>0</v>
      </c>
      <c r="F4307">
        <v>0</v>
      </c>
      <c r="G4307">
        <v>0</v>
      </c>
      <c r="H4307">
        <v>130</v>
      </c>
      <c r="I4307" s="183" t="s">
        <v>9014</v>
      </c>
      <c r="J4307" s="183" t="s">
        <v>12055</v>
      </c>
      <c r="K4307">
        <v>0</v>
      </c>
      <c r="L4307">
        <v>130</v>
      </c>
    </row>
    <row r="4308" spans="1:12">
      <c r="A4308" s="183" t="s">
        <v>12028</v>
      </c>
      <c r="B4308" s="183" t="s">
        <v>9013</v>
      </c>
      <c r="C4308">
        <v>8800358459558</v>
      </c>
      <c r="D4308">
        <v>130</v>
      </c>
      <c r="E4308">
        <v>0</v>
      </c>
      <c r="F4308">
        <v>0</v>
      </c>
      <c r="G4308">
        <v>0</v>
      </c>
      <c r="H4308">
        <v>130</v>
      </c>
      <c r="I4308" s="183" t="s">
        <v>9014</v>
      </c>
      <c r="J4308" s="183" t="s">
        <v>12095</v>
      </c>
      <c r="K4308">
        <v>0</v>
      </c>
      <c r="L4308">
        <v>130</v>
      </c>
    </row>
    <row r="4309" spans="1:12">
      <c r="A4309" s="183" t="s">
        <v>12029</v>
      </c>
      <c r="B4309" s="183" t="s">
        <v>9013</v>
      </c>
      <c r="C4309">
        <v>8800358459596</v>
      </c>
      <c r="D4309">
        <v>130</v>
      </c>
      <c r="E4309">
        <v>0</v>
      </c>
      <c r="F4309">
        <v>0</v>
      </c>
      <c r="G4309">
        <v>0</v>
      </c>
      <c r="H4309">
        <v>130</v>
      </c>
      <c r="I4309" s="183" t="s">
        <v>9014</v>
      </c>
      <c r="J4309" s="183" t="s">
        <v>12048</v>
      </c>
      <c r="K4309">
        <v>0</v>
      </c>
      <c r="L4309">
        <v>130</v>
      </c>
    </row>
    <row r="4310" spans="1:12">
      <c r="A4310" s="183" t="s">
        <v>12030</v>
      </c>
      <c r="B4310" s="183" t="s">
        <v>9013</v>
      </c>
      <c r="C4310">
        <v>8800358459602</v>
      </c>
      <c r="D4310">
        <v>130</v>
      </c>
      <c r="E4310">
        <v>0</v>
      </c>
      <c r="F4310">
        <v>0</v>
      </c>
      <c r="G4310">
        <v>0</v>
      </c>
      <c r="H4310">
        <v>130</v>
      </c>
      <c r="I4310" s="183" t="s">
        <v>9014</v>
      </c>
      <c r="J4310" s="183" t="s">
        <v>12087</v>
      </c>
      <c r="K4310">
        <v>0</v>
      </c>
      <c r="L4310">
        <v>130</v>
      </c>
    </row>
    <row r="4311" spans="1:12">
      <c r="A4311" s="183" t="s">
        <v>9015</v>
      </c>
      <c r="B4311" s="183" t="s">
        <v>9013</v>
      </c>
      <c r="C4311">
        <v>8800358459688</v>
      </c>
      <c r="D4311">
        <v>130</v>
      </c>
      <c r="E4311">
        <v>0</v>
      </c>
      <c r="F4311">
        <v>0</v>
      </c>
      <c r="G4311">
        <v>0</v>
      </c>
      <c r="H4311">
        <v>130</v>
      </c>
      <c r="I4311" s="183" t="s">
        <v>9014</v>
      </c>
      <c r="J4311" s="183" t="s">
        <v>12055</v>
      </c>
      <c r="K4311">
        <v>0</v>
      </c>
      <c r="L4311">
        <v>130</v>
      </c>
    </row>
    <row r="4312" spans="1:12">
      <c r="A4312" s="183" t="s">
        <v>8800</v>
      </c>
      <c r="B4312" s="183" t="s">
        <v>8776</v>
      </c>
      <c r="C4312">
        <v>8800358459848</v>
      </c>
      <c r="D4312">
        <v>130</v>
      </c>
      <c r="E4312">
        <v>0</v>
      </c>
      <c r="F4312">
        <v>0</v>
      </c>
      <c r="G4312">
        <v>0</v>
      </c>
      <c r="H4312">
        <v>130</v>
      </c>
      <c r="I4312" s="183" t="s">
        <v>8777</v>
      </c>
      <c r="J4312" s="183" t="s">
        <v>12048</v>
      </c>
      <c r="K4312">
        <v>0</v>
      </c>
      <c r="L4312">
        <v>130</v>
      </c>
    </row>
    <row r="4313" spans="1:12">
      <c r="A4313" s="183" t="s">
        <v>8941</v>
      </c>
      <c r="B4313" s="183" t="s">
        <v>8927</v>
      </c>
      <c r="C4313">
        <v>8800358460080</v>
      </c>
      <c r="D4313">
        <v>135</v>
      </c>
      <c r="E4313">
        <v>0</v>
      </c>
      <c r="F4313">
        <v>0</v>
      </c>
      <c r="G4313">
        <v>0</v>
      </c>
      <c r="H4313">
        <v>135</v>
      </c>
      <c r="I4313" s="183" t="s">
        <v>8928</v>
      </c>
      <c r="J4313" s="183" t="s">
        <v>12095</v>
      </c>
      <c r="K4313">
        <v>0</v>
      </c>
      <c r="L4313">
        <v>135</v>
      </c>
    </row>
    <row r="4314" spans="1:12">
      <c r="A4314" s="183" t="s">
        <v>8942</v>
      </c>
      <c r="B4314" s="183" t="s">
        <v>8927</v>
      </c>
      <c r="C4314">
        <v>8800358460134</v>
      </c>
      <c r="D4314">
        <v>45</v>
      </c>
      <c r="E4314">
        <v>0</v>
      </c>
      <c r="F4314">
        <v>0</v>
      </c>
      <c r="G4314">
        <v>0</v>
      </c>
      <c r="H4314">
        <v>45</v>
      </c>
      <c r="I4314" s="183" t="s">
        <v>8928</v>
      </c>
      <c r="J4314" s="183" t="s">
        <v>12066</v>
      </c>
      <c r="K4314">
        <v>0</v>
      </c>
      <c r="L4314">
        <v>45</v>
      </c>
    </row>
    <row r="4315" spans="1:12">
      <c r="A4315" s="183" t="s">
        <v>8943</v>
      </c>
      <c r="B4315" s="183" t="s">
        <v>8927</v>
      </c>
      <c r="C4315">
        <v>8800358460189</v>
      </c>
      <c r="D4315">
        <v>45</v>
      </c>
      <c r="E4315">
        <v>0</v>
      </c>
      <c r="F4315">
        <v>0</v>
      </c>
      <c r="G4315">
        <v>0</v>
      </c>
      <c r="H4315">
        <v>45</v>
      </c>
      <c r="I4315" s="183" t="s">
        <v>8928</v>
      </c>
      <c r="J4315" s="183" t="s">
        <v>12061</v>
      </c>
      <c r="K4315">
        <v>0</v>
      </c>
      <c r="L4315">
        <v>45</v>
      </c>
    </row>
    <row r="4316" spans="1:12">
      <c r="A4316" s="183" t="s">
        <v>8944</v>
      </c>
      <c r="B4316" s="183" t="s">
        <v>8927</v>
      </c>
      <c r="C4316">
        <v>8800358460196</v>
      </c>
      <c r="D4316">
        <v>15</v>
      </c>
      <c r="E4316">
        <v>0</v>
      </c>
      <c r="F4316">
        <v>0</v>
      </c>
      <c r="G4316">
        <v>0</v>
      </c>
      <c r="H4316">
        <v>15</v>
      </c>
      <c r="I4316" s="183" t="s">
        <v>8928</v>
      </c>
      <c r="J4316" s="183" t="s">
        <v>12087</v>
      </c>
      <c r="K4316">
        <v>0</v>
      </c>
      <c r="L4316">
        <v>15</v>
      </c>
    </row>
    <row r="4317" spans="1:12">
      <c r="A4317" s="183" t="s">
        <v>8687</v>
      </c>
      <c r="B4317" s="183" t="s">
        <v>8688</v>
      </c>
      <c r="C4317">
        <v>8800358460295</v>
      </c>
      <c r="D4317">
        <v>135</v>
      </c>
      <c r="E4317">
        <v>0</v>
      </c>
      <c r="F4317">
        <v>0</v>
      </c>
      <c r="G4317">
        <v>0</v>
      </c>
      <c r="H4317">
        <v>135</v>
      </c>
      <c r="I4317" s="183" t="s">
        <v>8689</v>
      </c>
      <c r="J4317" s="183" t="s">
        <v>12048</v>
      </c>
      <c r="K4317">
        <v>0</v>
      </c>
      <c r="L4317">
        <v>135</v>
      </c>
    </row>
    <row r="4318" spans="1:12">
      <c r="A4318" s="183" t="s">
        <v>8690</v>
      </c>
      <c r="B4318" s="183" t="s">
        <v>8688</v>
      </c>
      <c r="C4318">
        <v>8800358460370</v>
      </c>
      <c r="D4318">
        <v>45</v>
      </c>
      <c r="E4318">
        <v>0</v>
      </c>
      <c r="F4318">
        <v>0</v>
      </c>
      <c r="G4318">
        <v>0</v>
      </c>
      <c r="H4318">
        <v>45</v>
      </c>
      <c r="I4318" s="183" t="s">
        <v>8689</v>
      </c>
      <c r="J4318" s="183" t="s">
        <v>12057</v>
      </c>
      <c r="K4318">
        <v>0</v>
      </c>
      <c r="L4318">
        <v>45</v>
      </c>
    </row>
    <row r="4319" spans="1:12">
      <c r="A4319" s="183" t="s">
        <v>8691</v>
      </c>
      <c r="B4319" s="183" t="s">
        <v>8692</v>
      </c>
      <c r="C4319">
        <v>8800358460493</v>
      </c>
      <c r="D4319">
        <v>195</v>
      </c>
      <c r="E4319">
        <v>0</v>
      </c>
      <c r="F4319">
        <v>0</v>
      </c>
      <c r="G4319">
        <v>0</v>
      </c>
      <c r="H4319">
        <v>195</v>
      </c>
      <c r="I4319" s="183" t="s">
        <v>8693</v>
      </c>
      <c r="J4319" s="183" t="s">
        <v>12048</v>
      </c>
      <c r="K4319">
        <v>0</v>
      </c>
      <c r="L4319">
        <v>195</v>
      </c>
    </row>
    <row r="4320" spans="1:12">
      <c r="A4320" s="183" t="s">
        <v>8694</v>
      </c>
      <c r="B4320" s="183" t="s">
        <v>8692</v>
      </c>
      <c r="C4320">
        <v>8800358460554</v>
      </c>
      <c r="D4320">
        <v>135</v>
      </c>
      <c r="E4320">
        <v>0</v>
      </c>
      <c r="F4320">
        <v>0</v>
      </c>
      <c r="G4320">
        <v>0</v>
      </c>
      <c r="H4320">
        <v>135</v>
      </c>
      <c r="I4320" s="183" t="s">
        <v>8693</v>
      </c>
      <c r="J4320" s="183" t="s">
        <v>12055</v>
      </c>
      <c r="K4320">
        <v>0</v>
      </c>
      <c r="L4320">
        <v>135</v>
      </c>
    </row>
    <row r="4321" spans="1:12">
      <c r="A4321" s="183" t="s">
        <v>8695</v>
      </c>
      <c r="B4321" s="183" t="s">
        <v>8692</v>
      </c>
      <c r="C4321">
        <v>8800358460646</v>
      </c>
      <c r="D4321">
        <v>45</v>
      </c>
      <c r="E4321">
        <v>0</v>
      </c>
      <c r="F4321">
        <v>0</v>
      </c>
      <c r="G4321">
        <v>0</v>
      </c>
      <c r="H4321">
        <v>45</v>
      </c>
      <c r="I4321" s="183" t="s">
        <v>8693</v>
      </c>
      <c r="J4321" s="183" t="s">
        <v>12061</v>
      </c>
      <c r="K4321">
        <v>0</v>
      </c>
      <c r="L4321">
        <v>45</v>
      </c>
    </row>
    <row r="4322" spans="1:12">
      <c r="A4322" s="183" t="s">
        <v>8696</v>
      </c>
      <c r="B4322" s="183" t="s">
        <v>8692</v>
      </c>
      <c r="C4322">
        <v>8800358460707</v>
      </c>
      <c r="D4322">
        <v>45</v>
      </c>
      <c r="E4322">
        <v>0</v>
      </c>
      <c r="F4322">
        <v>0</v>
      </c>
      <c r="G4322">
        <v>0</v>
      </c>
      <c r="H4322">
        <v>45</v>
      </c>
      <c r="I4322" s="183" t="s">
        <v>8693</v>
      </c>
      <c r="J4322" s="183" t="s">
        <v>12055</v>
      </c>
      <c r="K4322">
        <v>0</v>
      </c>
      <c r="L4322">
        <v>45</v>
      </c>
    </row>
    <row r="4323" spans="1:12">
      <c r="A4323" s="183" t="s">
        <v>8697</v>
      </c>
      <c r="B4323" s="183" t="s">
        <v>8698</v>
      </c>
      <c r="C4323">
        <v>8800358460790</v>
      </c>
      <c r="D4323">
        <v>135</v>
      </c>
      <c r="E4323">
        <v>0</v>
      </c>
      <c r="F4323">
        <v>0</v>
      </c>
      <c r="G4323">
        <v>0</v>
      </c>
      <c r="H4323">
        <v>135</v>
      </c>
      <c r="I4323" s="183" t="s">
        <v>8699</v>
      </c>
      <c r="J4323" s="183" t="s">
        <v>12055</v>
      </c>
      <c r="K4323">
        <v>0</v>
      </c>
      <c r="L4323">
        <v>135</v>
      </c>
    </row>
    <row r="4324" spans="1:12">
      <c r="A4324" s="183" t="s">
        <v>8700</v>
      </c>
      <c r="B4324" s="183" t="s">
        <v>8698</v>
      </c>
      <c r="C4324">
        <v>8800358460820</v>
      </c>
      <c r="D4324">
        <v>135</v>
      </c>
      <c r="E4324">
        <v>0</v>
      </c>
      <c r="F4324">
        <v>0</v>
      </c>
      <c r="G4324">
        <v>0</v>
      </c>
      <c r="H4324">
        <v>135</v>
      </c>
      <c r="I4324" s="183" t="s">
        <v>8699</v>
      </c>
      <c r="J4324" s="183" t="s">
        <v>12057</v>
      </c>
      <c r="K4324">
        <v>0</v>
      </c>
      <c r="L4324">
        <v>135</v>
      </c>
    </row>
    <row r="4325" spans="1:12">
      <c r="A4325" s="183" t="s">
        <v>8701</v>
      </c>
      <c r="B4325" s="183" t="s">
        <v>8698</v>
      </c>
      <c r="C4325">
        <v>8800358460912</v>
      </c>
      <c r="D4325">
        <v>45</v>
      </c>
      <c r="E4325">
        <v>0</v>
      </c>
      <c r="F4325">
        <v>0</v>
      </c>
      <c r="G4325">
        <v>0</v>
      </c>
      <c r="H4325">
        <v>45</v>
      </c>
      <c r="I4325" s="183" t="s">
        <v>8699</v>
      </c>
      <c r="J4325" s="183" t="s">
        <v>12048</v>
      </c>
      <c r="K4325">
        <v>0</v>
      </c>
      <c r="L4325">
        <v>45</v>
      </c>
    </row>
    <row r="4326" spans="1:12">
      <c r="A4326" s="183" t="s">
        <v>8702</v>
      </c>
      <c r="B4326" s="183" t="s">
        <v>8698</v>
      </c>
      <c r="C4326">
        <v>8800358460943</v>
      </c>
      <c r="D4326">
        <v>45</v>
      </c>
      <c r="E4326">
        <v>0</v>
      </c>
      <c r="F4326">
        <v>0</v>
      </c>
      <c r="G4326">
        <v>0</v>
      </c>
      <c r="H4326">
        <v>45</v>
      </c>
      <c r="I4326" s="183" t="s">
        <v>8699</v>
      </c>
      <c r="J4326" s="183" t="s">
        <v>12066</v>
      </c>
      <c r="K4326">
        <v>0</v>
      </c>
      <c r="L4326">
        <v>45</v>
      </c>
    </row>
    <row r="4327" spans="1:12">
      <c r="A4327" s="183" t="s">
        <v>5640</v>
      </c>
      <c r="B4327" s="183" t="s">
        <v>5246</v>
      </c>
      <c r="C4327">
        <v>8800322949955</v>
      </c>
      <c r="D4327">
        <v>50</v>
      </c>
      <c r="E4327">
        <v>0</v>
      </c>
      <c r="F4327">
        <v>0</v>
      </c>
      <c r="G4327">
        <v>0</v>
      </c>
      <c r="H4327">
        <v>50</v>
      </c>
      <c r="I4327" s="183" t="s">
        <v>5247</v>
      </c>
      <c r="J4327" s="183" t="s">
        <v>12066</v>
      </c>
      <c r="K4327">
        <v>0</v>
      </c>
      <c r="L4327">
        <v>50</v>
      </c>
    </row>
    <row r="4328" spans="1:12">
      <c r="A4328" s="183" t="s">
        <v>5412</v>
      </c>
      <c r="B4328" s="183" t="s">
        <v>5246</v>
      </c>
      <c r="C4328">
        <v>8800322948217</v>
      </c>
      <c r="D4328">
        <v>50</v>
      </c>
      <c r="E4328">
        <v>0</v>
      </c>
      <c r="F4328">
        <v>0</v>
      </c>
      <c r="G4328">
        <v>0</v>
      </c>
      <c r="H4328">
        <v>50</v>
      </c>
      <c r="I4328" s="183" t="s">
        <v>5247</v>
      </c>
      <c r="J4328" s="183" t="s">
        <v>12087</v>
      </c>
      <c r="K4328">
        <v>0</v>
      </c>
      <c r="L4328">
        <v>50</v>
      </c>
    </row>
    <row r="4329" spans="1:12">
      <c r="A4329" s="183" t="s">
        <v>5821</v>
      </c>
      <c r="B4329" s="183" t="s">
        <v>5246</v>
      </c>
      <c r="C4329">
        <v>8800322950494</v>
      </c>
      <c r="D4329">
        <v>702</v>
      </c>
      <c r="E4329">
        <v>0</v>
      </c>
      <c r="F4329">
        <v>0</v>
      </c>
      <c r="G4329">
        <v>0</v>
      </c>
      <c r="H4329">
        <v>702</v>
      </c>
      <c r="I4329" s="183" t="s">
        <v>5247</v>
      </c>
      <c r="J4329" s="183" t="s">
        <v>12048</v>
      </c>
      <c r="K4329">
        <v>0</v>
      </c>
      <c r="L4329">
        <v>702</v>
      </c>
    </row>
    <row r="4330" spans="1:12">
      <c r="A4330" s="183" t="s">
        <v>5641</v>
      </c>
      <c r="B4330" s="183" t="s">
        <v>5246</v>
      </c>
      <c r="C4330">
        <v>8800322949238</v>
      </c>
      <c r="D4330">
        <v>50</v>
      </c>
      <c r="E4330">
        <v>0</v>
      </c>
      <c r="F4330">
        <v>0</v>
      </c>
      <c r="G4330">
        <v>0</v>
      </c>
      <c r="H4330">
        <v>50</v>
      </c>
      <c r="I4330" s="183" t="s">
        <v>5247</v>
      </c>
      <c r="J4330" s="183" t="s">
        <v>12085</v>
      </c>
      <c r="K4330">
        <v>0</v>
      </c>
      <c r="L4330">
        <v>50</v>
      </c>
    </row>
    <row r="4331" spans="1:12">
      <c r="A4331" s="183" t="s">
        <v>5642</v>
      </c>
      <c r="B4331" s="183" t="s">
        <v>5246</v>
      </c>
      <c r="C4331">
        <v>8800322947982</v>
      </c>
      <c r="D4331">
        <v>50</v>
      </c>
      <c r="E4331">
        <v>0</v>
      </c>
      <c r="F4331">
        <v>0</v>
      </c>
      <c r="G4331">
        <v>0</v>
      </c>
      <c r="H4331">
        <v>50</v>
      </c>
      <c r="I4331" s="183" t="s">
        <v>5247</v>
      </c>
      <c r="J4331" s="183" t="s">
        <v>12048</v>
      </c>
      <c r="K4331">
        <v>0</v>
      </c>
      <c r="L4331">
        <v>50</v>
      </c>
    </row>
    <row r="4332" spans="1:12">
      <c r="A4332" s="183" t="s">
        <v>5413</v>
      </c>
      <c r="B4332" s="183" t="s">
        <v>5251</v>
      </c>
      <c r="C4332">
        <v>8800322948996</v>
      </c>
      <c r="D4332">
        <v>50</v>
      </c>
      <c r="E4332">
        <v>0</v>
      </c>
      <c r="F4332">
        <v>0</v>
      </c>
      <c r="G4332">
        <v>0</v>
      </c>
      <c r="H4332">
        <v>50</v>
      </c>
      <c r="I4332" s="183" t="s">
        <v>5247</v>
      </c>
      <c r="J4332" s="183" t="s">
        <v>12094</v>
      </c>
      <c r="K4332">
        <v>0</v>
      </c>
      <c r="L4332">
        <v>50</v>
      </c>
    </row>
    <row r="4333" spans="1:12">
      <c r="A4333" s="183" t="s">
        <v>5643</v>
      </c>
      <c r="B4333" s="183" t="s">
        <v>5251</v>
      </c>
      <c r="C4333">
        <v>8800322947241</v>
      </c>
      <c r="D4333">
        <v>50</v>
      </c>
      <c r="E4333">
        <v>0</v>
      </c>
      <c r="F4333">
        <v>0</v>
      </c>
      <c r="G4333">
        <v>0</v>
      </c>
      <c r="H4333">
        <v>50</v>
      </c>
      <c r="I4333" s="183" t="s">
        <v>5247</v>
      </c>
      <c r="J4333" s="183" t="s">
        <v>12050</v>
      </c>
      <c r="K4333">
        <v>0</v>
      </c>
      <c r="L4333">
        <v>50</v>
      </c>
    </row>
    <row r="4334" spans="1:12">
      <c r="A4334" s="183" t="s">
        <v>5414</v>
      </c>
      <c r="B4334" s="183" t="s">
        <v>5251</v>
      </c>
      <c r="C4334">
        <v>8800322947500</v>
      </c>
      <c r="D4334">
        <v>50</v>
      </c>
      <c r="E4334">
        <v>0</v>
      </c>
      <c r="F4334">
        <v>0</v>
      </c>
      <c r="G4334">
        <v>0</v>
      </c>
      <c r="H4334">
        <v>50</v>
      </c>
      <c r="I4334" s="183" t="s">
        <v>5247</v>
      </c>
      <c r="J4334" s="183" t="s">
        <v>12095</v>
      </c>
      <c r="K4334">
        <v>0</v>
      </c>
      <c r="L4334">
        <v>50</v>
      </c>
    </row>
    <row r="4335" spans="1:12">
      <c r="A4335" s="183" t="s">
        <v>5644</v>
      </c>
      <c r="B4335" s="183" t="s">
        <v>5251</v>
      </c>
      <c r="C4335">
        <v>8800322949009</v>
      </c>
      <c r="D4335">
        <v>48</v>
      </c>
      <c r="E4335">
        <v>0</v>
      </c>
      <c r="F4335">
        <v>0</v>
      </c>
      <c r="G4335">
        <v>0</v>
      </c>
      <c r="H4335">
        <v>48</v>
      </c>
      <c r="I4335" s="183" t="s">
        <v>5247</v>
      </c>
      <c r="J4335" s="183" t="s">
        <v>12087</v>
      </c>
      <c r="K4335">
        <v>0</v>
      </c>
      <c r="L4335">
        <v>48</v>
      </c>
    </row>
    <row r="4336" spans="1:12">
      <c r="A4336" s="183" t="s">
        <v>5415</v>
      </c>
      <c r="B4336" s="183" t="s">
        <v>5251</v>
      </c>
      <c r="C4336">
        <v>8800322949757</v>
      </c>
      <c r="D4336">
        <v>50</v>
      </c>
      <c r="E4336">
        <v>0</v>
      </c>
      <c r="F4336">
        <v>0</v>
      </c>
      <c r="G4336">
        <v>0</v>
      </c>
      <c r="H4336">
        <v>50</v>
      </c>
      <c r="I4336" s="183" t="s">
        <v>5247</v>
      </c>
      <c r="J4336" s="183" t="s">
        <v>12085</v>
      </c>
      <c r="K4336">
        <v>0</v>
      </c>
      <c r="L4336">
        <v>50</v>
      </c>
    </row>
    <row r="4337" spans="1:12">
      <c r="A4337" s="183" t="s">
        <v>5416</v>
      </c>
      <c r="B4337" s="183" t="s">
        <v>5251</v>
      </c>
      <c r="C4337">
        <v>8800322947005</v>
      </c>
      <c r="D4337">
        <v>50</v>
      </c>
      <c r="E4337">
        <v>0</v>
      </c>
      <c r="F4337">
        <v>0</v>
      </c>
      <c r="G4337">
        <v>0</v>
      </c>
      <c r="H4337">
        <v>50</v>
      </c>
      <c r="I4337" s="183" t="s">
        <v>5247</v>
      </c>
      <c r="J4337" s="183" t="s">
        <v>12063</v>
      </c>
      <c r="K4337">
        <v>0</v>
      </c>
      <c r="L4337">
        <v>50</v>
      </c>
    </row>
    <row r="4338" spans="1:12">
      <c r="A4338" s="183" t="s">
        <v>5417</v>
      </c>
      <c r="B4338" s="183" t="s">
        <v>5251</v>
      </c>
      <c r="C4338">
        <v>8800322946763</v>
      </c>
      <c r="D4338">
        <v>50</v>
      </c>
      <c r="E4338">
        <v>0</v>
      </c>
      <c r="F4338">
        <v>0</v>
      </c>
      <c r="G4338">
        <v>0</v>
      </c>
      <c r="H4338">
        <v>50</v>
      </c>
      <c r="I4338" s="183" t="s">
        <v>5247</v>
      </c>
      <c r="J4338" s="183" t="s">
        <v>12066</v>
      </c>
      <c r="K4338">
        <v>0</v>
      </c>
      <c r="L4338">
        <v>50</v>
      </c>
    </row>
    <row r="4339" spans="1:12">
      <c r="A4339" s="183" t="s">
        <v>5418</v>
      </c>
      <c r="B4339" s="183" t="s">
        <v>5251</v>
      </c>
      <c r="C4339">
        <v>8800322948262</v>
      </c>
      <c r="D4339">
        <v>50</v>
      </c>
      <c r="E4339">
        <v>0</v>
      </c>
      <c r="F4339">
        <v>0</v>
      </c>
      <c r="G4339">
        <v>0</v>
      </c>
      <c r="H4339">
        <v>50</v>
      </c>
      <c r="I4339" s="183" t="s">
        <v>5247</v>
      </c>
      <c r="J4339" s="183" t="s">
        <v>12050</v>
      </c>
      <c r="K4339">
        <v>0</v>
      </c>
      <c r="L4339">
        <v>50</v>
      </c>
    </row>
    <row r="4340" spans="1:12">
      <c r="A4340" s="183" t="s">
        <v>5419</v>
      </c>
      <c r="B4340" s="183" t="s">
        <v>5251</v>
      </c>
      <c r="C4340">
        <v>8800322947012</v>
      </c>
      <c r="D4340">
        <v>50</v>
      </c>
      <c r="E4340">
        <v>0</v>
      </c>
      <c r="F4340">
        <v>0</v>
      </c>
      <c r="G4340">
        <v>0</v>
      </c>
      <c r="H4340">
        <v>50</v>
      </c>
      <c r="I4340" s="183" t="s">
        <v>5247</v>
      </c>
      <c r="J4340" s="183" t="s">
        <v>12066</v>
      </c>
      <c r="K4340">
        <v>0</v>
      </c>
      <c r="L4340">
        <v>50</v>
      </c>
    </row>
    <row r="4341" spans="1:12">
      <c r="A4341" s="183" t="s">
        <v>5420</v>
      </c>
      <c r="B4341" s="183" t="s">
        <v>5251</v>
      </c>
      <c r="C4341">
        <v>8800322950777</v>
      </c>
      <c r="D4341">
        <v>481</v>
      </c>
      <c r="E4341">
        <v>0</v>
      </c>
      <c r="F4341">
        <v>0</v>
      </c>
      <c r="G4341">
        <v>0</v>
      </c>
      <c r="H4341">
        <v>481</v>
      </c>
      <c r="I4341" s="183" t="s">
        <v>5247</v>
      </c>
      <c r="J4341" s="183" t="s">
        <v>12063</v>
      </c>
      <c r="K4341">
        <v>0</v>
      </c>
      <c r="L4341">
        <v>481</v>
      </c>
    </row>
    <row r="4342" spans="1:12">
      <c r="A4342" s="183" t="s">
        <v>5675</v>
      </c>
      <c r="B4342" s="183" t="s">
        <v>5251</v>
      </c>
      <c r="C4342">
        <v>8800322950272</v>
      </c>
      <c r="D4342">
        <v>50</v>
      </c>
      <c r="E4342">
        <v>0</v>
      </c>
      <c r="F4342">
        <v>0</v>
      </c>
      <c r="G4342">
        <v>0</v>
      </c>
      <c r="H4342">
        <v>50</v>
      </c>
      <c r="I4342" s="183" t="s">
        <v>5247</v>
      </c>
      <c r="J4342" s="183" t="s">
        <v>12063</v>
      </c>
      <c r="K4342">
        <v>0</v>
      </c>
      <c r="L4342">
        <v>50</v>
      </c>
    </row>
    <row r="4343" spans="1:12">
      <c r="A4343" s="183" t="s">
        <v>5421</v>
      </c>
      <c r="B4343" s="183" t="s">
        <v>5251</v>
      </c>
      <c r="C4343">
        <v>8800322948279</v>
      </c>
      <c r="D4343">
        <v>49</v>
      </c>
      <c r="E4343">
        <v>0</v>
      </c>
      <c r="F4343">
        <v>0</v>
      </c>
      <c r="G4343">
        <v>0</v>
      </c>
      <c r="H4343">
        <v>49</v>
      </c>
      <c r="I4343" s="183" t="s">
        <v>5247</v>
      </c>
      <c r="J4343" s="183" t="s">
        <v>12085</v>
      </c>
      <c r="K4343">
        <v>0</v>
      </c>
      <c r="L4343">
        <v>49</v>
      </c>
    </row>
    <row r="4344" spans="1:12">
      <c r="A4344" s="183" t="s">
        <v>5422</v>
      </c>
      <c r="B4344" s="183" t="s">
        <v>5256</v>
      </c>
      <c r="C4344">
        <v>8800322947531</v>
      </c>
      <c r="D4344">
        <v>50</v>
      </c>
      <c r="E4344">
        <v>0</v>
      </c>
      <c r="F4344">
        <v>0</v>
      </c>
      <c r="G4344">
        <v>0</v>
      </c>
      <c r="H4344">
        <v>50</v>
      </c>
      <c r="I4344" s="183" t="s">
        <v>5247</v>
      </c>
      <c r="J4344" s="183" t="s">
        <v>12085</v>
      </c>
      <c r="K4344">
        <v>0</v>
      </c>
      <c r="L4344">
        <v>50</v>
      </c>
    </row>
    <row r="4345" spans="1:12">
      <c r="A4345" s="183" t="s">
        <v>5423</v>
      </c>
      <c r="B4345" s="183" t="s">
        <v>5256</v>
      </c>
      <c r="C4345">
        <v>8800322949788</v>
      </c>
      <c r="D4345">
        <v>50</v>
      </c>
      <c r="E4345">
        <v>0</v>
      </c>
      <c r="F4345">
        <v>0</v>
      </c>
      <c r="G4345">
        <v>0</v>
      </c>
      <c r="H4345">
        <v>50</v>
      </c>
      <c r="I4345" s="183" t="s">
        <v>5247</v>
      </c>
      <c r="J4345" s="183" t="s">
        <v>12066</v>
      </c>
      <c r="K4345">
        <v>0</v>
      </c>
      <c r="L4345">
        <v>50</v>
      </c>
    </row>
    <row r="4346" spans="1:12">
      <c r="A4346" s="183" t="s">
        <v>5822</v>
      </c>
      <c r="B4346" s="183" t="s">
        <v>5256</v>
      </c>
      <c r="C4346">
        <v>8800322948781</v>
      </c>
      <c r="D4346">
        <v>50</v>
      </c>
      <c r="E4346">
        <v>0</v>
      </c>
      <c r="F4346">
        <v>0</v>
      </c>
      <c r="G4346">
        <v>0</v>
      </c>
      <c r="H4346">
        <v>50</v>
      </c>
      <c r="I4346" s="183" t="s">
        <v>5247</v>
      </c>
      <c r="J4346" s="183" t="s">
        <v>12050</v>
      </c>
      <c r="K4346">
        <v>0</v>
      </c>
      <c r="L4346">
        <v>50</v>
      </c>
    </row>
    <row r="4347" spans="1:12">
      <c r="A4347" s="183" t="s">
        <v>5823</v>
      </c>
      <c r="B4347" s="183" t="s">
        <v>5256</v>
      </c>
      <c r="C4347">
        <v>8800322950296</v>
      </c>
      <c r="D4347">
        <v>50</v>
      </c>
      <c r="E4347">
        <v>0</v>
      </c>
      <c r="F4347">
        <v>0</v>
      </c>
      <c r="G4347">
        <v>0</v>
      </c>
      <c r="H4347">
        <v>50</v>
      </c>
      <c r="I4347" s="183" t="s">
        <v>5247</v>
      </c>
      <c r="J4347" s="183" t="s">
        <v>12066</v>
      </c>
      <c r="K4347">
        <v>0</v>
      </c>
      <c r="L4347">
        <v>50</v>
      </c>
    </row>
    <row r="4348" spans="1:12">
      <c r="A4348" s="183" t="s">
        <v>5424</v>
      </c>
      <c r="B4348" s="183" t="s">
        <v>5256</v>
      </c>
      <c r="C4348">
        <v>8800322949795</v>
      </c>
      <c r="D4348">
        <v>50</v>
      </c>
      <c r="E4348">
        <v>0</v>
      </c>
      <c r="F4348">
        <v>0</v>
      </c>
      <c r="G4348">
        <v>0</v>
      </c>
      <c r="H4348">
        <v>50</v>
      </c>
      <c r="I4348" s="183" t="s">
        <v>5247</v>
      </c>
      <c r="J4348" s="183" t="s">
        <v>12050</v>
      </c>
      <c r="K4348">
        <v>0</v>
      </c>
      <c r="L4348">
        <v>50</v>
      </c>
    </row>
    <row r="4349" spans="1:12">
      <c r="A4349" s="183" t="s">
        <v>5676</v>
      </c>
      <c r="B4349" s="183" t="s">
        <v>5256</v>
      </c>
      <c r="C4349">
        <v>8800322948545</v>
      </c>
      <c r="D4349">
        <v>50</v>
      </c>
      <c r="E4349">
        <v>0</v>
      </c>
      <c r="F4349">
        <v>0</v>
      </c>
      <c r="G4349">
        <v>0</v>
      </c>
      <c r="H4349">
        <v>50</v>
      </c>
      <c r="I4349" s="183" t="s">
        <v>5247</v>
      </c>
      <c r="J4349" s="183" t="s">
        <v>12094</v>
      </c>
      <c r="K4349">
        <v>0</v>
      </c>
      <c r="L4349">
        <v>50</v>
      </c>
    </row>
    <row r="4350" spans="1:12">
      <c r="A4350" s="183" t="s">
        <v>5425</v>
      </c>
      <c r="B4350" s="183" t="s">
        <v>5256</v>
      </c>
      <c r="C4350">
        <v>8800322949054</v>
      </c>
      <c r="D4350">
        <v>50</v>
      </c>
      <c r="E4350">
        <v>0</v>
      </c>
      <c r="F4350">
        <v>0</v>
      </c>
      <c r="G4350">
        <v>0</v>
      </c>
      <c r="H4350">
        <v>50</v>
      </c>
      <c r="I4350" s="183" t="s">
        <v>5247</v>
      </c>
      <c r="J4350" s="183" t="s">
        <v>12048</v>
      </c>
      <c r="K4350">
        <v>0</v>
      </c>
      <c r="L4350">
        <v>50</v>
      </c>
    </row>
    <row r="4351" spans="1:12">
      <c r="A4351" s="183" t="s">
        <v>5426</v>
      </c>
      <c r="B4351" s="183" t="s">
        <v>5256</v>
      </c>
      <c r="C4351">
        <v>8800322947050</v>
      </c>
      <c r="D4351">
        <v>50</v>
      </c>
      <c r="E4351">
        <v>0</v>
      </c>
      <c r="F4351">
        <v>0</v>
      </c>
      <c r="G4351">
        <v>0</v>
      </c>
      <c r="H4351">
        <v>50</v>
      </c>
      <c r="I4351" s="183" t="s">
        <v>5247</v>
      </c>
      <c r="J4351" s="183" t="s">
        <v>12048</v>
      </c>
      <c r="K4351">
        <v>0</v>
      </c>
      <c r="L4351">
        <v>50</v>
      </c>
    </row>
    <row r="4352" spans="1:12">
      <c r="A4352" s="183" t="s">
        <v>5427</v>
      </c>
      <c r="B4352" s="183" t="s">
        <v>5256</v>
      </c>
      <c r="C4352">
        <v>8800322949061</v>
      </c>
      <c r="D4352">
        <v>50</v>
      </c>
      <c r="E4352">
        <v>0</v>
      </c>
      <c r="F4352">
        <v>0</v>
      </c>
      <c r="G4352">
        <v>0</v>
      </c>
      <c r="H4352">
        <v>50</v>
      </c>
      <c r="I4352" s="183" t="s">
        <v>5247</v>
      </c>
      <c r="J4352" s="183" t="s">
        <v>12050</v>
      </c>
      <c r="K4352">
        <v>0</v>
      </c>
      <c r="L4352">
        <v>50</v>
      </c>
    </row>
    <row r="4353" spans="1:12">
      <c r="A4353" s="183" t="s">
        <v>5428</v>
      </c>
      <c r="B4353" s="183" t="s">
        <v>5256</v>
      </c>
      <c r="C4353">
        <v>8800322949818</v>
      </c>
      <c r="D4353">
        <v>49</v>
      </c>
      <c r="E4353">
        <v>0</v>
      </c>
      <c r="F4353">
        <v>0</v>
      </c>
      <c r="G4353">
        <v>0</v>
      </c>
      <c r="H4353">
        <v>49</v>
      </c>
      <c r="I4353" s="183" t="s">
        <v>5247</v>
      </c>
      <c r="J4353" s="183" t="s">
        <v>12048</v>
      </c>
      <c r="K4353">
        <v>0</v>
      </c>
      <c r="L4353">
        <v>49</v>
      </c>
    </row>
    <row r="4354" spans="1:12">
      <c r="A4354" s="183" t="s">
        <v>5429</v>
      </c>
      <c r="B4354" s="183" t="s">
        <v>5267</v>
      </c>
      <c r="C4354">
        <v>8800322947579</v>
      </c>
      <c r="D4354">
        <v>50</v>
      </c>
      <c r="E4354">
        <v>0</v>
      </c>
      <c r="F4354">
        <v>0</v>
      </c>
      <c r="G4354">
        <v>0</v>
      </c>
      <c r="H4354">
        <v>50</v>
      </c>
      <c r="I4354" s="183" t="s">
        <v>5247</v>
      </c>
      <c r="J4354" s="183" t="s">
        <v>12085</v>
      </c>
      <c r="K4354">
        <v>0</v>
      </c>
      <c r="L4354">
        <v>50</v>
      </c>
    </row>
    <row r="4355" spans="1:12">
      <c r="A4355" s="183" t="s">
        <v>5677</v>
      </c>
      <c r="B4355" s="183" t="s">
        <v>5267</v>
      </c>
      <c r="C4355">
        <v>8800322950081</v>
      </c>
      <c r="D4355">
        <v>50</v>
      </c>
      <c r="E4355">
        <v>0</v>
      </c>
      <c r="F4355">
        <v>0</v>
      </c>
      <c r="G4355">
        <v>0</v>
      </c>
      <c r="H4355">
        <v>50</v>
      </c>
      <c r="I4355" s="183" t="s">
        <v>5247</v>
      </c>
      <c r="J4355" s="183" t="s">
        <v>12063</v>
      </c>
      <c r="K4355">
        <v>0</v>
      </c>
      <c r="L4355">
        <v>50</v>
      </c>
    </row>
    <row r="4356" spans="1:12">
      <c r="A4356" s="183" t="s">
        <v>5430</v>
      </c>
      <c r="B4356" s="183" t="s">
        <v>5267</v>
      </c>
      <c r="C4356">
        <v>8800322951088</v>
      </c>
      <c r="D4356">
        <v>492</v>
      </c>
      <c r="E4356">
        <v>0</v>
      </c>
      <c r="F4356">
        <v>0</v>
      </c>
      <c r="G4356">
        <v>0</v>
      </c>
      <c r="H4356">
        <v>492</v>
      </c>
      <c r="I4356" s="183" t="s">
        <v>5247</v>
      </c>
      <c r="J4356" s="183" t="s">
        <v>12048</v>
      </c>
      <c r="K4356">
        <v>0</v>
      </c>
      <c r="L4356">
        <v>492</v>
      </c>
    </row>
    <row r="4357" spans="1:12">
      <c r="A4357" s="183" t="s">
        <v>5678</v>
      </c>
      <c r="B4357" s="183" t="s">
        <v>5267</v>
      </c>
      <c r="C4357">
        <v>8800322950098</v>
      </c>
      <c r="D4357">
        <v>50</v>
      </c>
      <c r="E4357">
        <v>0</v>
      </c>
      <c r="F4357">
        <v>0</v>
      </c>
      <c r="G4357">
        <v>0</v>
      </c>
      <c r="H4357">
        <v>50</v>
      </c>
      <c r="I4357" s="183" t="s">
        <v>5247</v>
      </c>
      <c r="J4357" s="183" t="s">
        <v>12095</v>
      </c>
      <c r="K4357">
        <v>0</v>
      </c>
      <c r="L4357">
        <v>50</v>
      </c>
    </row>
    <row r="4358" spans="1:12">
      <c r="A4358" s="183" t="s">
        <v>5679</v>
      </c>
      <c r="B4358" s="183" t="s">
        <v>5267</v>
      </c>
      <c r="C4358">
        <v>8800322947333</v>
      </c>
      <c r="D4358">
        <v>50</v>
      </c>
      <c r="E4358">
        <v>0</v>
      </c>
      <c r="F4358">
        <v>0</v>
      </c>
      <c r="G4358">
        <v>0</v>
      </c>
      <c r="H4358">
        <v>50</v>
      </c>
      <c r="I4358" s="183" t="s">
        <v>5247</v>
      </c>
      <c r="J4358" s="183" t="s">
        <v>12055</v>
      </c>
      <c r="K4358">
        <v>0</v>
      </c>
      <c r="L4358">
        <v>50</v>
      </c>
    </row>
    <row r="4359" spans="1:12">
      <c r="A4359" s="183" t="s">
        <v>5680</v>
      </c>
      <c r="B4359" s="183" t="s">
        <v>5267</v>
      </c>
      <c r="C4359">
        <v>8800322948088</v>
      </c>
      <c r="D4359">
        <v>50</v>
      </c>
      <c r="E4359">
        <v>0</v>
      </c>
      <c r="F4359">
        <v>0</v>
      </c>
      <c r="G4359">
        <v>0</v>
      </c>
      <c r="H4359">
        <v>50</v>
      </c>
      <c r="I4359" s="183" t="s">
        <v>5247</v>
      </c>
      <c r="J4359" s="183" t="s">
        <v>12050</v>
      </c>
      <c r="K4359">
        <v>0</v>
      </c>
      <c r="L4359">
        <v>50</v>
      </c>
    </row>
    <row r="4360" spans="1:12">
      <c r="A4360" s="183" t="s">
        <v>5431</v>
      </c>
      <c r="B4360" s="183" t="s">
        <v>5267</v>
      </c>
      <c r="C4360">
        <v>8800322946848</v>
      </c>
      <c r="D4360">
        <v>50</v>
      </c>
      <c r="E4360">
        <v>0</v>
      </c>
      <c r="F4360">
        <v>0</v>
      </c>
      <c r="G4360">
        <v>0</v>
      </c>
      <c r="H4360">
        <v>50</v>
      </c>
      <c r="I4360" s="183" t="s">
        <v>5247</v>
      </c>
      <c r="J4360" s="183" t="s">
        <v>12057</v>
      </c>
      <c r="K4360">
        <v>0</v>
      </c>
      <c r="L4360">
        <v>50</v>
      </c>
    </row>
    <row r="4361" spans="1:12">
      <c r="A4361" s="183" t="s">
        <v>5681</v>
      </c>
      <c r="B4361" s="183" t="s">
        <v>5267</v>
      </c>
      <c r="C4361">
        <v>8800322948347</v>
      </c>
      <c r="D4361">
        <v>50</v>
      </c>
      <c r="E4361">
        <v>0</v>
      </c>
      <c r="F4361">
        <v>0</v>
      </c>
      <c r="G4361">
        <v>0</v>
      </c>
      <c r="H4361">
        <v>50</v>
      </c>
      <c r="I4361" s="183" t="s">
        <v>5247</v>
      </c>
      <c r="J4361" s="183" t="s">
        <v>12050</v>
      </c>
      <c r="K4361">
        <v>0</v>
      </c>
      <c r="L4361">
        <v>50</v>
      </c>
    </row>
    <row r="4362" spans="1:12">
      <c r="A4362" s="183" t="s">
        <v>5432</v>
      </c>
      <c r="B4362" s="183" t="s">
        <v>5267</v>
      </c>
      <c r="C4362">
        <v>8800322950609</v>
      </c>
      <c r="D4362">
        <v>494</v>
      </c>
      <c r="E4362">
        <v>0</v>
      </c>
      <c r="F4362">
        <v>0</v>
      </c>
      <c r="G4362">
        <v>0</v>
      </c>
      <c r="H4362">
        <v>494</v>
      </c>
      <c r="I4362" s="183" t="s">
        <v>5247</v>
      </c>
      <c r="J4362" s="183" t="s">
        <v>12095</v>
      </c>
      <c r="K4362">
        <v>0</v>
      </c>
      <c r="L4362">
        <v>494</v>
      </c>
    </row>
    <row r="4363" spans="1:12">
      <c r="A4363" s="183" t="s">
        <v>5433</v>
      </c>
      <c r="B4363" s="183" t="s">
        <v>5267</v>
      </c>
      <c r="C4363">
        <v>8800322951101</v>
      </c>
      <c r="D4363">
        <v>490</v>
      </c>
      <c r="E4363">
        <v>0</v>
      </c>
      <c r="F4363">
        <v>0</v>
      </c>
      <c r="G4363">
        <v>0</v>
      </c>
      <c r="H4363">
        <v>490</v>
      </c>
      <c r="I4363" s="183" t="s">
        <v>5247</v>
      </c>
      <c r="J4363" s="183" t="s">
        <v>12050</v>
      </c>
      <c r="K4363">
        <v>0</v>
      </c>
      <c r="L4363">
        <v>490</v>
      </c>
    </row>
    <row r="4364" spans="1:12">
      <c r="A4364" s="183" t="s">
        <v>5434</v>
      </c>
      <c r="B4364" s="183" t="s">
        <v>5267</v>
      </c>
      <c r="C4364">
        <v>8800322946855</v>
      </c>
      <c r="D4364">
        <v>50</v>
      </c>
      <c r="E4364">
        <v>0</v>
      </c>
      <c r="F4364">
        <v>0</v>
      </c>
      <c r="G4364">
        <v>0</v>
      </c>
      <c r="H4364">
        <v>50</v>
      </c>
      <c r="I4364" s="183" t="s">
        <v>5247</v>
      </c>
      <c r="J4364" s="183" t="s">
        <v>12095</v>
      </c>
      <c r="K4364">
        <v>0</v>
      </c>
      <c r="L4364">
        <v>50</v>
      </c>
    </row>
    <row r="4365" spans="1:12">
      <c r="A4365" s="183" t="s">
        <v>5435</v>
      </c>
      <c r="B4365" s="183" t="s">
        <v>5267</v>
      </c>
      <c r="C4365">
        <v>8800322947609</v>
      </c>
      <c r="D4365">
        <v>50</v>
      </c>
      <c r="E4365">
        <v>0</v>
      </c>
      <c r="F4365">
        <v>0</v>
      </c>
      <c r="G4365">
        <v>0</v>
      </c>
      <c r="H4365">
        <v>50</v>
      </c>
      <c r="I4365" s="183" t="s">
        <v>5247</v>
      </c>
      <c r="J4365" s="183" t="s">
        <v>12085</v>
      </c>
      <c r="K4365">
        <v>0</v>
      </c>
      <c r="L4365">
        <v>50</v>
      </c>
    </row>
    <row r="4366" spans="1:12">
      <c r="A4366" s="183" t="s">
        <v>5682</v>
      </c>
      <c r="B4366" s="183" t="s">
        <v>5267</v>
      </c>
      <c r="C4366">
        <v>8800322950111</v>
      </c>
      <c r="D4366">
        <v>50</v>
      </c>
      <c r="E4366">
        <v>0</v>
      </c>
      <c r="F4366">
        <v>0</v>
      </c>
      <c r="G4366">
        <v>0</v>
      </c>
      <c r="H4366">
        <v>50</v>
      </c>
      <c r="I4366" s="183" t="s">
        <v>5247</v>
      </c>
      <c r="J4366" s="183" t="s">
        <v>12095</v>
      </c>
      <c r="K4366">
        <v>0</v>
      </c>
      <c r="L4366">
        <v>50</v>
      </c>
    </row>
    <row r="4367" spans="1:12">
      <c r="A4367" s="183" t="s">
        <v>5683</v>
      </c>
      <c r="B4367" s="183" t="s">
        <v>5267</v>
      </c>
      <c r="C4367">
        <v>8800322948101</v>
      </c>
      <c r="D4367">
        <v>50</v>
      </c>
      <c r="E4367">
        <v>0</v>
      </c>
      <c r="F4367">
        <v>0</v>
      </c>
      <c r="G4367">
        <v>0</v>
      </c>
      <c r="H4367">
        <v>50</v>
      </c>
      <c r="I4367" s="183" t="s">
        <v>5247</v>
      </c>
      <c r="J4367" s="183" t="s">
        <v>12055</v>
      </c>
      <c r="K4367">
        <v>0</v>
      </c>
      <c r="L4367">
        <v>50</v>
      </c>
    </row>
    <row r="4368" spans="1:12">
      <c r="A4368" s="183" t="s">
        <v>5824</v>
      </c>
      <c r="B4368" s="183" t="s">
        <v>5267</v>
      </c>
      <c r="C4368">
        <v>8800322948859</v>
      </c>
      <c r="D4368">
        <v>50</v>
      </c>
      <c r="E4368">
        <v>0</v>
      </c>
      <c r="F4368">
        <v>0</v>
      </c>
      <c r="G4368">
        <v>0</v>
      </c>
      <c r="H4368">
        <v>50</v>
      </c>
      <c r="I4368" s="183" t="s">
        <v>5247</v>
      </c>
      <c r="J4368" s="183" t="s">
        <v>12063</v>
      </c>
      <c r="K4368">
        <v>0</v>
      </c>
      <c r="L4368">
        <v>50</v>
      </c>
    </row>
    <row r="4369" spans="1:12">
      <c r="A4369" s="183" t="s">
        <v>5436</v>
      </c>
      <c r="B4369" s="183" t="s">
        <v>5296</v>
      </c>
      <c r="C4369">
        <v>8800322947616</v>
      </c>
      <c r="D4369">
        <v>48</v>
      </c>
      <c r="E4369">
        <v>0</v>
      </c>
      <c r="F4369">
        <v>0</v>
      </c>
      <c r="G4369">
        <v>0</v>
      </c>
      <c r="H4369">
        <v>48</v>
      </c>
      <c r="I4369" s="183" t="s">
        <v>5247</v>
      </c>
      <c r="J4369" s="183" t="s">
        <v>12094</v>
      </c>
      <c r="K4369">
        <v>0</v>
      </c>
      <c r="L4369">
        <v>48</v>
      </c>
    </row>
    <row r="4370" spans="1:12">
      <c r="A4370" s="183" t="s">
        <v>5437</v>
      </c>
      <c r="B4370" s="183" t="s">
        <v>5296</v>
      </c>
      <c r="C4370">
        <v>8800322948613</v>
      </c>
      <c r="D4370">
        <v>50</v>
      </c>
      <c r="E4370">
        <v>0</v>
      </c>
      <c r="F4370">
        <v>0</v>
      </c>
      <c r="G4370">
        <v>0</v>
      </c>
      <c r="H4370">
        <v>50</v>
      </c>
      <c r="I4370" s="183" t="s">
        <v>5247</v>
      </c>
      <c r="J4370" s="183" t="s">
        <v>12048</v>
      </c>
      <c r="K4370">
        <v>0</v>
      </c>
      <c r="L4370">
        <v>50</v>
      </c>
    </row>
    <row r="4371" spans="1:12">
      <c r="A4371" s="183" t="s">
        <v>5438</v>
      </c>
      <c r="B4371" s="183" t="s">
        <v>5296</v>
      </c>
      <c r="C4371">
        <v>8800322949375</v>
      </c>
      <c r="D4371">
        <v>50</v>
      </c>
      <c r="E4371">
        <v>0</v>
      </c>
      <c r="F4371">
        <v>0</v>
      </c>
      <c r="G4371">
        <v>0</v>
      </c>
      <c r="H4371">
        <v>50</v>
      </c>
      <c r="I4371" s="183" t="s">
        <v>5247</v>
      </c>
      <c r="J4371" s="183" t="s">
        <v>12087</v>
      </c>
      <c r="K4371">
        <v>0</v>
      </c>
      <c r="L4371">
        <v>50</v>
      </c>
    </row>
    <row r="4372" spans="1:12">
      <c r="A4372" s="183" t="s">
        <v>5524</v>
      </c>
      <c r="B4372" s="183" t="s">
        <v>5296</v>
      </c>
      <c r="C4372">
        <v>8800322951132</v>
      </c>
      <c r="D4372">
        <v>498</v>
      </c>
      <c r="E4372">
        <v>0</v>
      </c>
      <c r="F4372">
        <v>0</v>
      </c>
      <c r="G4372">
        <v>0</v>
      </c>
      <c r="H4372">
        <v>498</v>
      </c>
      <c r="I4372" s="183" t="s">
        <v>5247</v>
      </c>
      <c r="J4372" s="183" t="s">
        <v>12094</v>
      </c>
      <c r="K4372">
        <v>0</v>
      </c>
      <c r="L4372">
        <v>498</v>
      </c>
    </row>
    <row r="4373" spans="1:12">
      <c r="A4373" s="183" t="s">
        <v>5684</v>
      </c>
      <c r="B4373" s="183" t="s">
        <v>5274</v>
      </c>
      <c r="C4373">
        <v>8800322949382</v>
      </c>
      <c r="D4373">
        <v>50</v>
      </c>
      <c r="E4373">
        <v>0</v>
      </c>
      <c r="F4373">
        <v>0</v>
      </c>
      <c r="G4373">
        <v>0</v>
      </c>
      <c r="H4373">
        <v>50</v>
      </c>
      <c r="I4373" s="183" t="s">
        <v>5247</v>
      </c>
      <c r="J4373" s="183" t="s">
        <v>12063</v>
      </c>
      <c r="K4373">
        <v>0</v>
      </c>
      <c r="L4373">
        <v>50</v>
      </c>
    </row>
    <row r="4374" spans="1:12">
      <c r="A4374" s="183" t="s">
        <v>5825</v>
      </c>
      <c r="B4374" s="183" t="s">
        <v>5274</v>
      </c>
      <c r="C4374">
        <v>8800322950395</v>
      </c>
      <c r="D4374">
        <v>50</v>
      </c>
      <c r="E4374">
        <v>0</v>
      </c>
      <c r="F4374">
        <v>0</v>
      </c>
      <c r="G4374">
        <v>0</v>
      </c>
      <c r="H4374">
        <v>50</v>
      </c>
      <c r="I4374" s="183" t="s">
        <v>5247</v>
      </c>
      <c r="J4374" s="183" t="s">
        <v>12094</v>
      </c>
      <c r="K4374">
        <v>0</v>
      </c>
      <c r="L4374">
        <v>50</v>
      </c>
    </row>
    <row r="4375" spans="1:12">
      <c r="A4375" s="183" t="s">
        <v>5685</v>
      </c>
      <c r="B4375" s="183" t="s">
        <v>5274</v>
      </c>
      <c r="C4375">
        <v>8800322950401</v>
      </c>
      <c r="D4375">
        <v>50</v>
      </c>
      <c r="E4375">
        <v>0</v>
      </c>
      <c r="F4375">
        <v>0</v>
      </c>
      <c r="G4375">
        <v>0</v>
      </c>
      <c r="H4375">
        <v>50</v>
      </c>
      <c r="I4375" s="183" t="s">
        <v>5247</v>
      </c>
      <c r="J4375" s="183" t="s">
        <v>12094</v>
      </c>
      <c r="K4375">
        <v>0</v>
      </c>
      <c r="L4375">
        <v>50</v>
      </c>
    </row>
    <row r="4376" spans="1:12">
      <c r="A4376" s="183" t="s">
        <v>5439</v>
      </c>
      <c r="B4376" s="183" t="s">
        <v>5274</v>
      </c>
      <c r="C4376">
        <v>8800322951156</v>
      </c>
      <c r="D4376">
        <v>502</v>
      </c>
      <c r="E4376">
        <v>0</v>
      </c>
      <c r="F4376">
        <v>0</v>
      </c>
      <c r="G4376">
        <v>0</v>
      </c>
      <c r="H4376">
        <v>502</v>
      </c>
      <c r="I4376" s="183" t="s">
        <v>5247</v>
      </c>
      <c r="J4376" s="183" t="s">
        <v>12087</v>
      </c>
      <c r="K4376">
        <v>0</v>
      </c>
      <c r="L4376">
        <v>502</v>
      </c>
    </row>
    <row r="4377" spans="1:12">
      <c r="A4377" s="183" t="s">
        <v>5686</v>
      </c>
      <c r="B4377" s="183" t="s">
        <v>5302</v>
      </c>
      <c r="C4377">
        <v>8800322947401</v>
      </c>
      <c r="D4377">
        <v>50</v>
      </c>
      <c r="E4377">
        <v>0</v>
      </c>
      <c r="F4377">
        <v>0</v>
      </c>
      <c r="G4377">
        <v>0</v>
      </c>
      <c r="H4377">
        <v>50</v>
      </c>
      <c r="I4377" s="183" t="s">
        <v>5247</v>
      </c>
      <c r="J4377" s="183" t="s">
        <v>12061</v>
      </c>
      <c r="K4377">
        <v>0</v>
      </c>
      <c r="L4377">
        <v>50</v>
      </c>
    </row>
    <row r="4378" spans="1:12">
      <c r="A4378" s="183" t="s">
        <v>5826</v>
      </c>
      <c r="B4378" s="183" t="s">
        <v>5302</v>
      </c>
      <c r="C4378">
        <v>8800322948903</v>
      </c>
      <c r="D4378">
        <v>50</v>
      </c>
      <c r="E4378">
        <v>0</v>
      </c>
      <c r="F4378">
        <v>0</v>
      </c>
      <c r="G4378">
        <v>0</v>
      </c>
      <c r="H4378">
        <v>50</v>
      </c>
      <c r="I4378" s="183" t="s">
        <v>5247</v>
      </c>
      <c r="J4378" s="183" t="s">
        <v>12048</v>
      </c>
      <c r="K4378">
        <v>0</v>
      </c>
      <c r="L4378">
        <v>50</v>
      </c>
    </row>
    <row r="4379" spans="1:12">
      <c r="A4379" s="183" t="s">
        <v>5440</v>
      </c>
      <c r="B4379" s="183" t="s">
        <v>5302</v>
      </c>
      <c r="C4379">
        <v>8800322946916</v>
      </c>
      <c r="D4379">
        <v>50</v>
      </c>
      <c r="E4379">
        <v>0</v>
      </c>
      <c r="F4379">
        <v>0</v>
      </c>
      <c r="G4379">
        <v>0</v>
      </c>
      <c r="H4379">
        <v>50</v>
      </c>
      <c r="I4379" s="183" t="s">
        <v>5247</v>
      </c>
      <c r="J4379" s="183" t="s">
        <v>12061</v>
      </c>
      <c r="K4379">
        <v>0</v>
      </c>
      <c r="L4379">
        <v>50</v>
      </c>
    </row>
    <row r="4380" spans="1:12">
      <c r="A4380" s="183" t="s">
        <v>5441</v>
      </c>
      <c r="B4380" s="183" t="s">
        <v>5302</v>
      </c>
      <c r="C4380">
        <v>8800322947166</v>
      </c>
      <c r="D4380">
        <v>50</v>
      </c>
      <c r="E4380">
        <v>0</v>
      </c>
      <c r="F4380">
        <v>0</v>
      </c>
      <c r="G4380">
        <v>0</v>
      </c>
      <c r="H4380">
        <v>50</v>
      </c>
      <c r="I4380" s="183" t="s">
        <v>5247</v>
      </c>
      <c r="J4380" s="183" t="s">
        <v>12048</v>
      </c>
      <c r="K4380">
        <v>0</v>
      </c>
      <c r="L4380">
        <v>50</v>
      </c>
    </row>
    <row r="4381" spans="1:12">
      <c r="A4381" s="183" t="s">
        <v>5687</v>
      </c>
      <c r="B4381" s="183" t="s">
        <v>5302</v>
      </c>
      <c r="C4381">
        <v>8800322947913</v>
      </c>
      <c r="D4381">
        <v>50</v>
      </c>
      <c r="E4381">
        <v>0</v>
      </c>
      <c r="F4381">
        <v>0</v>
      </c>
      <c r="G4381">
        <v>0</v>
      </c>
      <c r="H4381">
        <v>50</v>
      </c>
      <c r="I4381" s="183" t="s">
        <v>5247</v>
      </c>
      <c r="J4381" s="183" t="s">
        <v>12055</v>
      </c>
      <c r="K4381">
        <v>0</v>
      </c>
      <c r="L4381">
        <v>50</v>
      </c>
    </row>
    <row r="4382" spans="1:12">
      <c r="A4382" s="183" t="s">
        <v>5688</v>
      </c>
      <c r="B4382" s="183" t="s">
        <v>5302</v>
      </c>
      <c r="C4382">
        <v>8800322949412</v>
      </c>
      <c r="D4382">
        <v>50</v>
      </c>
      <c r="E4382">
        <v>0</v>
      </c>
      <c r="F4382">
        <v>0</v>
      </c>
      <c r="G4382">
        <v>0</v>
      </c>
      <c r="H4382">
        <v>50</v>
      </c>
      <c r="I4382" s="183" t="s">
        <v>5247</v>
      </c>
      <c r="J4382" s="183" t="s">
        <v>12085</v>
      </c>
      <c r="K4382">
        <v>0</v>
      </c>
      <c r="L4382">
        <v>50</v>
      </c>
    </row>
    <row r="4383" spans="1:12">
      <c r="A4383" s="183" t="s">
        <v>5689</v>
      </c>
      <c r="B4383" s="183" t="s">
        <v>5302</v>
      </c>
      <c r="C4383">
        <v>8800322950173</v>
      </c>
      <c r="D4383">
        <v>50</v>
      </c>
      <c r="E4383">
        <v>0</v>
      </c>
      <c r="F4383">
        <v>0</v>
      </c>
      <c r="G4383">
        <v>0</v>
      </c>
      <c r="H4383">
        <v>50</v>
      </c>
      <c r="I4383" s="183" t="s">
        <v>5247</v>
      </c>
      <c r="J4383" s="183" t="s">
        <v>12085</v>
      </c>
      <c r="K4383">
        <v>0</v>
      </c>
      <c r="L4383">
        <v>50</v>
      </c>
    </row>
    <row r="4384" spans="1:12">
      <c r="A4384" s="183" t="s">
        <v>5442</v>
      </c>
      <c r="B4384" s="183" t="s">
        <v>5277</v>
      </c>
      <c r="C4384">
        <v>8800322947678</v>
      </c>
      <c r="D4384">
        <v>50</v>
      </c>
      <c r="E4384">
        <v>0</v>
      </c>
      <c r="F4384">
        <v>0</v>
      </c>
      <c r="G4384">
        <v>0</v>
      </c>
      <c r="H4384">
        <v>50</v>
      </c>
      <c r="I4384" s="183" t="s">
        <v>5247</v>
      </c>
      <c r="J4384" s="183" t="s">
        <v>12063</v>
      </c>
      <c r="K4384">
        <v>0</v>
      </c>
      <c r="L4384">
        <v>50</v>
      </c>
    </row>
    <row r="4385" spans="1:12">
      <c r="A4385" s="183" t="s">
        <v>5443</v>
      </c>
      <c r="B4385" s="183" t="s">
        <v>5277</v>
      </c>
      <c r="C4385">
        <v>8800322948422</v>
      </c>
      <c r="D4385">
        <v>50</v>
      </c>
      <c r="E4385">
        <v>0</v>
      </c>
      <c r="F4385">
        <v>0</v>
      </c>
      <c r="G4385">
        <v>0</v>
      </c>
      <c r="H4385">
        <v>50</v>
      </c>
      <c r="I4385" s="183" t="s">
        <v>5247</v>
      </c>
      <c r="J4385" s="183" t="s">
        <v>12055</v>
      </c>
      <c r="K4385">
        <v>0</v>
      </c>
      <c r="L4385">
        <v>50</v>
      </c>
    </row>
    <row r="4386" spans="1:12">
      <c r="A4386" s="183" t="s">
        <v>5690</v>
      </c>
      <c r="B4386" s="183" t="s">
        <v>5277</v>
      </c>
      <c r="C4386">
        <v>8800322949672</v>
      </c>
      <c r="D4386">
        <v>50</v>
      </c>
      <c r="E4386">
        <v>0</v>
      </c>
      <c r="F4386">
        <v>0</v>
      </c>
      <c r="G4386">
        <v>0</v>
      </c>
      <c r="H4386">
        <v>50</v>
      </c>
      <c r="I4386" s="183" t="s">
        <v>5247</v>
      </c>
      <c r="J4386" s="183" t="s">
        <v>12094</v>
      </c>
      <c r="K4386">
        <v>0</v>
      </c>
      <c r="L4386">
        <v>50</v>
      </c>
    </row>
    <row r="4387" spans="1:12">
      <c r="A4387" s="183" t="s">
        <v>5444</v>
      </c>
      <c r="B4387" s="183" t="s">
        <v>5277</v>
      </c>
      <c r="C4387">
        <v>8800322950944</v>
      </c>
      <c r="D4387">
        <v>552</v>
      </c>
      <c r="E4387">
        <v>0</v>
      </c>
      <c r="F4387">
        <v>0</v>
      </c>
      <c r="G4387">
        <v>0</v>
      </c>
      <c r="H4387">
        <v>552</v>
      </c>
      <c r="I4387" s="183" t="s">
        <v>5247</v>
      </c>
      <c r="J4387" s="183" t="s">
        <v>12063</v>
      </c>
      <c r="K4387">
        <v>0</v>
      </c>
      <c r="L4387">
        <v>552</v>
      </c>
    </row>
    <row r="4388" spans="1:12">
      <c r="A4388" s="183" t="s">
        <v>5827</v>
      </c>
      <c r="B4388" s="183" t="s">
        <v>5277</v>
      </c>
      <c r="C4388">
        <v>8800322948934</v>
      </c>
      <c r="D4388">
        <v>50</v>
      </c>
      <c r="E4388">
        <v>0</v>
      </c>
      <c r="F4388">
        <v>0</v>
      </c>
      <c r="G4388">
        <v>0</v>
      </c>
      <c r="H4388">
        <v>50</v>
      </c>
      <c r="I4388" s="183" t="s">
        <v>5247</v>
      </c>
      <c r="J4388" s="183" t="s">
        <v>12063</v>
      </c>
      <c r="K4388">
        <v>0</v>
      </c>
      <c r="L4388">
        <v>50</v>
      </c>
    </row>
    <row r="4389" spans="1:12">
      <c r="A4389" s="183" t="s">
        <v>5445</v>
      </c>
      <c r="B4389" s="183" t="s">
        <v>5277</v>
      </c>
      <c r="C4389">
        <v>8800322951194</v>
      </c>
      <c r="D4389">
        <v>549</v>
      </c>
      <c r="E4389">
        <v>0</v>
      </c>
      <c r="F4389">
        <v>0</v>
      </c>
      <c r="G4389">
        <v>0</v>
      </c>
      <c r="H4389">
        <v>549</v>
      </c>
      <c r="I4389" s="183" t="s">
        <v>5247</v>
      </c>
      <c r="J4389" s="183" t="s">
        <v>12048</v>
      </c>
      <c r="K4389">
        <v>0</v>
      </c>
      <c r="L4389">
        <v>549</v>
      </c>
    </row>
    <row r="4390" spans="1:12">
      <c r="A4390" s="183" t="s">
        <v>5446</v>
      </c>
      <c r="B4390" s="183" t="s">
        <v>5308</v>
      </c>
      <c r="C4390">
        <v>8800322946947</v>
      </c>
      <c r="D4390">
        <v>50</v>
      </c>
      <c r="E4390">
        <v>0</v>
      </c>
      <c r="F4390">
        <v>0</v>
      </c>
      <c r="G4390">
        <v>0</v>
      </c>
      <c r="H4390">
        <v>50</v>
      </c>
      <c r="I4390" s="183" t="s">
        <v>5247</v>
      </c>
      <c r="J4390" s="183" t="s">
        <v>12057</v>
      </c>
      <c r="K4390">
        <v>0</v>
      </c>
      <c r="L4390">
        <v>50</v>
      </c>
    </row>
    <row r="4391" spans="1:12">
      <c r="A4391" s="183" t="s">
        <v>3509</v>
      </c>
      <c r="B4391" s="183" t="s">
        <v>1039</v>
      </c>
      <c r="C4391">
        <v>8809867716343</v>
      </c>
      <c r="D4391" s="501">
        <v>1002</v>
      </c>
      <c r="E4391">
        <v>0</v>
      </c>
      <c r="F4391">
        <v>0</v>
      </c>
      <c r="G4391">
        <v>0</v>
      </c>
      <c r="H4391" s="501">
        <v>1002</v>
      </c>
      <c r="I4391" s="183" t="s">
        <v>1040</v>
      </c>
      <c r="J4391" s="183" t="s">
        <v>12092</v>
      </c>
      <c r="K4391">
        <v>0</v>
      </c>
      <c r="L4391" s="501">
        <v>1002</v>
      </c>
    </row>
    <row r="4392" spans="1:12">
      <c r="A4392" s="183" t="s">
        <v>879</v>
      </c>
      <c r="B4392" s="183" t="s">
        <v>1039</v>
      </c>
      <c r="C4392">
        <v>8809867716466</v>
      </c>
      <c r="D4392">
        <v>905</v>
      </c>
      <c r="E4392">
        <v>0</v>
      </c>
      <c r="F4392">
        <v>0</v>
      </c>
      <c r="G4392">
        <v>0</v>
      </c>
      <c r="H4392">
        <v>905</v>
      </c>
      <c r="I4392" s="183" t="s">
        <v>1040</v>
      </c>
      <c r="J4392" s="183" t="s">
        <v>12091</v>
      </c>
      <c r="K4392">
        <v>0</v>
      </c>
      <c r="L4392">
        <v>905</v>
      </c>
    </row>
    <row r="4393" spans="1:12">
      <c r="A4393" s="183" t="s">
        <v>892</v>
      </c>
      <c r="B4393" s="183" t="s">
        <v>1039</v>
      </c>
      <c r="C4393">
        <v>8809867716480</v>
      </c>
      <c r="D4393">
        <v>947</v>
      </c>
      <c r="E4393">
        <v>0</v>
      </c>
      <c r="F4393">
        <v>0</v>
      </c>
      <c r="G4393">
        <v>0</v>
      </c>
      <c r="H4393">
        <v>947</v>
      </c>
      <c r="I4393" s="183" t="s">
        <v>1040</v>
      </c>
      <c r="J4393" s="183" t="s">
        <v>12054</v>
      </c>
      <c r="K4393">
        <v>0</v>
      </c>
      <c r="L4393">
        <v>947</v>
      </c>
    </row>
    <row r="4394" spans="1:12">
      <c r="A4394" s="183" t="s">
        <v>898</v>
      </c>
      <c r="B4394" s="183" t="s">
        <v>1039</v>
      </c>
      <c r="C4394">
        <v>8809867716497</v>
      </c>
      <c r="D4394" s="501">
        <v>1104</v>
      </c>
      <c r="E4394">
        <v>0</v>
      </c>
      <c r="F4394">
        <v>0</v>
      </c>
      <c r="G4394">
        <v>0</v>
      </c>
      <c r="H4394" s="501">
        <v>1104</v>
      </c>
      <c r="I4394" s="183" t="s">
        <v>1040</v>
      </c>
      <c r="J4394" s="183" t="s">
        <v>12054</v>
      </c>
      <c r="K4394">
        <v>0</v>
      </c>
      <c r="L4394" s="501">
        <v>1104</v>
      </c>
    </row>
    <row r="4395" spans="1:12">
      <c r="A4395" s="183" t="s">
        <v>899</v>
      </c>
      <c r="B4395" s="183" t="s">
        <v>1039</v>
      </c>
      <c r="C4395">
        <v>8809867716527</v>
      </c>
      <c r="D4395">
        <v>586</v>
      </c>
      <c r="E4395">
        <v>0</v>
      </c>
      <c r="F4395">
        <v>0</v>
      </c>
      <c r="G4395">
        <v>0</v>
      </c>
      <c r="H4395">
        <v>586</v>
      </c>
      <c r="I4395" s="183" t="s">
        <v>1040</v>
      </c>
      <c r="J4395" s="183" t="s">
        <v>12059</v>
      </c>
      <c r="K4395">
        <v>0</v>
      </c>
      <c r="L4395">
        <v>586</v>
      </c>
    </row>
    <row r="4396" spans="1:12">
      <c r="A4396" s="183" t="s">
        <v>900</v>
      </c>
      <c r="B4396" s="183" t="s">
        <v>1039</v>
      </c>
      <c r="C4396">
        <v>8809867716671</v>
      </c>
      <c r="D4396">
        <v>730</v>
      </c>
      <c r="E4396">
        <v>0</v>
      </c>
      <c r="F4396">
        <v>0</v>
      </c>
      <c r="G4396">
        <v>0</v>
      </c>
      <c r="H4396">
        <v>730</v>
      </c>
      <c r="I4396" s="183" t="s">
        <v>1040</v>
      </c>
      <c r="J4396" s="183" t="s">
        <v>12063</v>
      </c>
      <c r="K4396">
        <v>0</v>
      </c>
      <c r="L4396">
        <v>730</v>
      </c>
    </row>
    <row r="4397" spans="1:12">
      <c r="A4397" s="183" t="s">
        <v>880</v>
      </c>
      <c r="B4397" s="183" t="s">
        <v>1039</v>
      </c>
      <c r="C4397">
        <v>8809867716688</v>
      </c>
      <c r="D4397">
        <v>460</v>
      </c>
      <c r="E4397">
        <v>0</v>
      </c>
      <c r="F4397">
        <v>0</v>
      </c>
      <c r="G4397">
        <v>0</v>
      </c>
      <c r="H4397">
        <v>460</v>
      </c>
      <c r="I4397" s="183" t="s">
        <v>1040</v>
      </c>
      <c r="J4397" s="183" t="s">
        <v>12085</v>
      </c>
      <c r="K4397">
        <v>0</v>
      </c>
      <c r="L4397">
        <v>460</v>
      </c>
    </row>
    <row r="4398" spans="1:12">
      <c r="A4398" s="183" t="s">
        <v>881</v>
      </c>
      <c r="B4398" s="183" t="s">
        <v>1039</v>
      </c>
      <c r="C4398">
        <v>8809867716824</v>
      </c>
      <c r="D4398" s="501">
        <v>1185</v>
      </c>
      <c r="E4398">
        <v>0</v>
      </c>
      <c r="F4398">
        <v>0</v>
      </c>
      <c r="G4398">
        <v>0</v>
      </c>
      <c r="H4398" s="501">
        <v>1185</v>
      </c>
      <c r="I4398" s="183" t="s">
        <v>1040</v>
      </c>
      <c r="J4398" s="183" t="s">
        <v>12063</v>
      </c>
      <c r="K4398">
        <v>0</v>
      </c>
      <c r="L4398" s="501">
        <v>1185</v>
      </c>
    </row>
    <row r="4399" spans="1:12">
      <c r="A4399" s="183" t="s">
        <v>3785</v>
      </c>
      <c r="B4399" s="183" t="s">
        <v>1039</v>
      </c>
      <c r="C4399">
        <v>8809867716893</v>
      </c>
      <c r="D4399">
        <v>403</v>
      </c>
      <c r="E4399">
        <v>0</v>
      </c>
      <c r="F4399">
        <v>0</v>
      </c>
      <c r="G4399">
        <v>0</v>
      </c>
      <c r="H4399">
        <v>403</v>
      </c>
      <c r="I4399" s="183" t="s">
        <v>1040</v>
      </c>
      <c r="J4399" s="183" t="s">
        <v>12093</v>
      </c>
      <c r="K4399">
        <v>0</v>
      </c>
      <c r="L4399">
        <v>403</v>
      </c>
    </row>
    <row r="4400" spans="1:12">
      <c r="A4400" s="183" t="s">
        <v>882</v>
      </c>
      <c r="B4400" s="183" t="s">
        <v>1039</v>
      </c>
      <c r="C4400">
        <v>8809867716930</v>
      </c>
      <c r="D4400" s="501">
        <v>1074</v>
      </c>
      <c r="E4400">
        <v>0</v>
      </c>
      <c r="F4400">
        <v>0</v>
      </c>
      <c r="G4400">
        <v>0</v>
      </c>
      <c r="H4400" s="501">
        <v>1074</v>
      </c>
      <c r="I4400" s="183" t="s">
        <v>1040</v>
      </c>
      <c r="J4400" s="183" t="s">
        <v>12093</v>
      </c>
      <c r="K4400">
        <v>0</v>
      </c>
      <c r="L4400" s="501">
        <v>1074</v>
      </c>
    </row>
    <row r="4401" spans="1:12">
      <c r="A4401" s="183" t="s">
        <v>3845</v>
      </c>
      <c r="B4401" s="183" t="s">
        <v>1039</v>
      </c>
      <c r="C4401">
        <v>8809867716961</v>
      </c>
      <c r="D4401">
        <v>639</v>
      </c>
      <c r="E4401">
        <v>0</v>
      </c>
      <c r="F4401">
        <v>0</v>
      </c>
      <c r="G4401">
        <v>0</v>
      </c>
      <c r="H4401">
        <v>639</v>
      </c>
      <c r="I4401" s="183" t="s">
        <v>1040</v>
      </c>
      <c r="J4401" s="183" t="s">
        <v>12087</v>
      </c>
      <c r="K4401">
        <v>0</v>
      </c>
      <c r="L4401">
        <v>639</v>
      </c>
    </row>
    <row r="4402" spans="1:12">
      <c r="A4402" s="183" t="s">
        <v>897</v>
      </c>
      <c r="B4402" s="183" t="s">
        <v>1039</v>
      </c>
      <c r="C4402">
        <v>8809867717029</v>
      </c>
      <c r="D4402" s="501">
        <v>1279</v>
      </c>
      <c r="E4402">
        <v>0</v>
      </c>
      <c r="F4402">
        <v>0</v>
      </c>
      <c r="G4402">
        <v>0</v>
      </c>
      <c r="H4402" s="501">
        <v>1279</v>
      </c>
      <c r="I4402" s="183" t="s">
        <v>1040</v>
      </c>
      <c r="J4402" s="183" t="s">
        <v>12067</v>
      </c>
      <c r="K4402">
        <v>0</v>
      </c>
      <c r="L4402" s="501">
        <v>1279</v>
      </c>
    </row>
    <row r="4403" spans="1:12">
      <c r="A4403" s="183" t="s">
        <v>3846</v>
      </c>
      <c r="B4403" s="183" t="s">
        <v>1039</v>
      </c>
      <c r="C4403">
        <v>8809867717043</v>
      </c>
      <c r="D4403">
        <v>59</v>
      </c>
      <c r="E4403">
        <v>0</v>
      </c>
      <c r="F4403">
        <v>0</v>
      </c>
      <c r="G4403">
        <v>0</v>
      </c>
      <c r="H4403">
        <v>59</v>
      </c>
      <c r="I4403" s="183" t="s">
        <v>1040</v>
      </c>
      <c r="J4403" s="183" t="s">
        <v>12094</v>
      </c>
      <c r="K4403">
        <v>0</v>
      </c>
      <c r="L4403">
        <v>59</v>
      </c>
    </row>
    <row r="4404" spans="1:12">
      <c r="A4404" s="183" t="s">
        <v>5697</v>
      </c>
      <c r="B4404" s="183" t="s">
        <v>1039</v>
      </c>
      <c r="C4404">
        <v>8809867717074</v>
      </c>
      <c r="D4404">
        <v>222</v>
      </c>
      <c r="E4404">
        <v>0</v>
      </c>
      <c r="F4404">
        <v>0</v>
      </c>
      <c r="G4404">
        <v>0</v>
      </c>
      <c r="H4404">
        <v>222</v>
      </c>
      <c r="I4404" s="183" t="s">
        <v>1040</v>
      </c>
      <c r="J4404" s="183" t="s">
        <v>12067</v>
      </c>
      <c r="K4404">
        <v>0</v>
      </c>
      <c r="L4404">
        <v>222</v>
      </c>
    </row>
    <row r="4405" spans="1:12">
      <c r="A4405" s="183" t="s">
        <v>5057</v>
      </c>
      <c r="B4405" s="183" t="s">
        <v>1039</v>
      </c>
      <c r="C4405">
        <v>8809867717135</v>
      </c>
      <c r="D4405">
        <v>132</v>
      </c>
      <c r="E4405">
        <v>0</v>
      </c>
      <c r="F4405">
        <v>0</v>
      </c>
      <c r="G4405">
        <v>0</v>
      </c>
      <c r="H4405">
        <v>132</v>
      </c>
      <c r="I4405" s="183" t="s">
        <v>1040</v>
      </c>
      <c r="J4405" s="183" t="s">
        <v>12091</v>
      </c>
      <c r="K4405">
        <v>0</v>
      </c>
      <c r="L4405">
        <v>132</v>
      </c>
    </row>
    <row r="4406" spans="1:12">
      <c r="A4406" s="183" t="s">
        <v>909</v>
      </c>
      <c r="B4406" s="183" t="s">
        <v>927</v>
      </c>
      <c r="C4406">
        <v>8809867717296</v>
      </c>
      <c r="D4406" s="501">
        <v>1956</v>
      </c>
      <c r="E4406">
        <v>0</v>
      </c>
      <c r="F4406">
        <v>0</v>
      </c>
      <c r="G4406">
        <v>0</v>
      </c>
      <c r="H4406" s="501">
        <v>1956</v>
      </c>
      <c r="I4406" s="183" t="s">
        <v>1021</v>
      </c>
      <c r="J4406" s="183" t="s">
        <v>12066</v>
      </c>
      <c r="K4406">
        <v>0</v>
      </c>
      <c r="L4406" s="501">
        <v>1956</v>
      </c>
    </row>
    <row r="4407" spans="1:12">
      <c r="A4407" s="183" t="s">
        <v>914</v>
      </c>
      <c r="B4407" s="183" t="s">
        <v>927</v>
      </c>
      <c r="C4407">
        <v>8809867717449</v>
      </c>
      <c r="D4407" s="501">
        <v>1893</v>
      </c>
      <c r="E4407">
        <v>0</v>
      </c>
      <c r="F4407">
        <v>0</v>
      </c>
      <c r="G4407">
        <v>0</v>
      </c>
      <c r="H4407" s="501">
        <v>1893</v>
      </c>
      <c r="I4407" s="183" t="s">
        <v>1021</v>
      </c>
      <c r="J4407" s="183" t="s">
        <v>12094</v>
      </c>
      <c r="K4407">
        <v>0</v>
      </c>
      <c r="L4407" s="501">
        <v>1893</v>
      </c>
    </row>
    <row r="4408" spans="1:12">
      <c r="A4408" s="183" t="s">
        <v>919</v>
      </c>
      <c r="B4408" s="183" t="s">
        <v>927</v>
      </c>
      <c r="C4408">
        <v>8809867717593</v>
      </c>
      <c r="D4408">
        <v>724</v>
      </c>
      <c r="E4408">
        <v>0</v>
      </c>
      <c r="F4408">
        <v>0</v>
      </c>
      <c r="G4408">
        <v>0</v>
      </c>
      <c r="H4408">
        <v>724</v>
      </c>
      <c r="I4408" s="183" t="s">
        <v>1021</v>
      </c>
      <c r="J4408" s="183" t="s">
        <v>12085</v>
      </c>
      <c r="K4408">
        <v>0</v>
      </c>
      <c r="L4408">
        <v>724</v>
      </c>
    </row>
    <row r="4409" spans="1:12">
      <c r="A4409" s="183" t="s">
        <v>942</v>
      </c>
      <c r="B4409" s="183" t="s">
        <v>927</v>
      </c>
      <c r="C4409">
        <v>8809867717609</v>
      </c>
      <c r="D4409" s="501">
        <v>1504</v>
      </c>
      <c r="E4409">
        <v>0</v>
      </c>
      <c r="F4409">
        <v>0</v>
      </c>
      <c r="G4409">
        <v>0</v>
      </c>
      <c r="H4409" s="501">
        <v>1504</v>
      </c>
      <c r="I4409" s="183" t="s">
        <v>1021</v>
      </c>
      <c r="J4409" s="183" t="s">
        <v>12048</v>
      </c>
      <c r="K4409">
        <v>0</v>
      </c>
      <c r="L4409" s="501">
        <v>1504</v>
      </c>
    </row>
    <row r="4410" spans="1:12">
      <c r="A4410" s="183" t="s">
        <v>3760</v>
      </c>
      <c r="B4410" s="183" t="s">
        <v>927</v>
      </c>
      <c r="C4410">
        <v>8809867717623</v>
      </c>
      <c r="D4410">
        <v>598</v>
      </c>
      <c r="E4410">
        <v>0</v>
      </c>
      <c r="F4410">
        <v>0</v>
      </c>
      <c r="G4410">
        <v>0</v>
      </c>
      <c r="H4410">
        <v>598</v>
      </c>
      <c r="I4410" s="183" t="s">
        <v>1021</v>
      </c>
      <c r="J4410" s="183" t="s">
        <v>12095</v>
      </c>
      <c r="K4410">
        <v>0</v>
      </c>
      <c r="L4410">
        <v>598</v>
      </c>
    </row>
    <row r="4411" spans="1:12">
      <c r="A4411" s="183" t="s">
        <v>943</v>
      </c>
      <c r="B4411" s="183" t="s">
        <v>927</v>
      </c>
      <c r="C4411">
        <v>8809867717630</v>
      </c>
      <c r="D4411" s="501">
        <v>2212</v>
      </c>
      <c r="E4411">
        <v>0</v>
      </c>
      <c r="F4411">
        <v>0</v>
      </c>
      <c r="G4411">
        <v>0</v>
      </c>
      <c r="H4411" s="501">
        <v>2212</v>
      </c>
      <c r="I4411" s="183" t="s">
        <v>1021</v>
      </c>
      <c r="J4411" s="183" t="s">
        <v>12092</v>
      </c>
      <c r="K4411">
        <v>0</v>
      </c>
      <c r="L4411" s="501">
        <v>2212</v>
      </c>
    </row>
    <row r="4412" spans="1:12">
      <c r="A4412" s="183" t="s">
        <v>969</v>
      </c>
      <c r="B4412" s="183" t="s">
        <v>927</v>
      </c>
      <c r="C4412">
        <v>8809867717678</v>
      </c>
      <c r="D4412">
        <v>827</v>
      </c>
      <c r="E4412">
        <v>0</v>
      </c>
      <c r="F4412">
        <v>0</v>
      </c>
      <c r="G4412">
        <v>0</v>
      </c>
      <c r="H4412">
        <v>827</v>
      </c>
      <c r="I4412" s="183" t="s">
        <v>1021</v>
      </c>
      <c r="J4412" s="183" t="s">
        <v>12093</v>
      </c>
      <c r="K4412">
        <v>0</v>
      </c>
      <c r="L4412">
        <v>827</v>
      </c>
    </row>
    <row r="4413" spans="1:12">
      <c r="A4413" s="183" t="s">
        <v>925</v>
      </c>
      <c r="B4413" s="183" t="s">
        <v>927</v>
      </c>
      <c r="C4413">
        <v>8809867717838</v>
      </c>
      <c r="D4413" s="501">
        <v>1990</v>
      </c>
      <c r="E4413">
        <v>0</v>
      </c>
      <c r="F4413">
        <v>0</v>
      </c>
      <c r="G4413">
        <v>0</v>
      </c>
      <c r="H4413" s="501">
        <v>1990</v>
      </c>
      <c r="I4413" s="183" t="s">
        <v>1021</v>
      </c>
      <c r="J4413" s="183" t="s">
        <v>12091</v>
      </c>
      <c r="K4413">
        <v>0</v>
      </c>
      <c r="L4413" s="501">
        <v>1990</v>
      </c>
    </row>
    <row r="4414" spans="1:12">
      <c r="A4414" s="183" t="s">
        <v>2972</v>
      </c>
      <c r="B4414" s="183" t="s">
        <v>927</v>
      </c>
      <c r="C4414">
        <v>8809867717920</v>
      </c>
      <c r="D4414">
        <v>180</v>
      </c>
      <c r="E4414">
        <v>0</v>
      </c>
      <c r="F4414">
        <v>0</v>
      </c>
      <c r="G4414">
        <v>0</v>
      </c>
      <c r="H4414">
        <v>180</v>
      </c>
      <c r="I4414" s="183" t="s">
        <v>1021</v>
      </c>
      <c r="J4414" s="183" t="s">
        <v>12054</v>
      </c>
      <c r="K4414">
        <v>0</v>
      </c>
      <c r="L4414">
        <v>180</v>
      </c>
    </row>
    <row r="4415" spans="1:12">
      <c r="A4415" s="183" t="s">
        <v>1319</v>
      </c>
      <c r="B4415" s="183" t="s">
        <v>927</v>
      </c>
      <c r="C4415">
        <v>8809867717968</v>
      </c>
      <c r="D4415">
        <v>141</v>
      </c>
      <c r="E4415">
        <v>0</v>
      </c>
      <c r="F4415">
        <v>0</v>
      </c>
      <c r="G4415">
        <v>0</v>
      </c>
      <c r="H4415">
        <v>141</v>
      </c>
      <c r="I4415" s="183" t="s">
        <v>1021</v>
      </c>
      <c r="J4415" s="183" t="s">
        <v>12092</v>
      </c>
      <c r="K4415">
        <v>0</v>
      </c>
      <c r="L4415">
        <v>141</v>
      </c>
    </row>
    <row r="4416" spans="1:12">
      <c r="A4416" s="183" t="s">
        <v>2971</v>
      </c>
      <c r="B4416" s="183" t="s">
        <v>927</v>
      </c>
      <c r="C4416">
        <v>8809867717982</v>
      </c>
      <c r="D4416">
        <v>78</v>
      </c>
      <c r="E4416">
        <v>0</v>
      </c>
      <c r="F4416">
        <v>0</v>
      </c>
      <c r="G4416">
        <v>0</v>
      </c>
      <c r="H4416">
        <v>78</v>
      </c>
      <c r="I4416" s="183" t="s">
        <v>1021</v>
      </c>
      <c r="J4416" s="183" t="s">
        <v>12091</v>
      </c>
      <c r="K4416">
        <v>0</v>
      </c>
      <c r="L4416">
        <v>78</v>
      </c>
    </row>
    <row r="4417" spans="1:12">
      <c r="A4417" s="183" t="s">
        <v>6434</v>
      </c>
      <c r="B4417" s="183" t="s">
        <v>1006</v>
      </c>
      <c r="C4417">
        <v>8809867704548</v>
      </c>
      <c r="D4417">
        <v>96</v>
      </c>
      <c r="E4417">
        <v>0</v>
      </c>
      <c r="F4417">
        <v>0</v>
      </c>
      <c r="G4417">
        <v>0</v>
      </c>
      <c r="H4417">
        <v>96</v>
      </c>
      <c r="I4417" s="183" t="s">
        <v>1007</v>
      </c>
      <c r="J4417" s="183" t="s">
        <v>12093</v>
      </c>
      <c r="K4417">
        <v>0</v>
      </c>
      <c r="L4417">
        <v>96</v>
      </c>
    </row>
    <row r="4418" spans="1:12">
      <c r="A4418" s="183" t="s">
        <v>1234</v>
      </c>
      <c r="B4418" s="183" t="s">
        <v>1006</v>
      </c>
      <c r="C4418">
        <v>8809867704609</v>
      </c>
      <c r="D4418">
        <v>165</v>
      </c>
      <c r="E4418">
        <v>0</v>
      </c>
      <c r="F4418">
        <v>0</v>
      </c>
      <c r="G4418">
        <v>0</v>
      </c>
      <c r="H4418">
        <v>165</v>
      </c>
      <c r="I4418" s="183" t="s">
        <v>1007</v>
      </c>
      <c r="J4418" s="183" t="s">
        <v>12093</v>
      </c>
      <c r="K4418">
        <v>0</v>
      </c>
      <c r="L4418">
        <v>165</v>
      </c>
    </row>
    <row r="4419" spans="1:12">
      <c r="A4419" s="183" t="s">
        <v>6433</v>
      </c>
      <c r="B4419" s="183" t="s">
        <v>1006</v>
      </c>
      <c r="C4419">
        <v>8809867704630</v>
      </c>
      <c r="D4419">
        <v>109</v>
      </c>
      <c r="E4419">
        <v>0</v>
      </c>
      <c r="F4419">
        <v>0</v>
      </c>
      <c r="G4419">
        <v>0</v>
      </c>
      <c r="H4419">
        <v>109</v>
      </c>
      <c r="I4419" s="183" t="s">
        <v>1007</v>
      </c>
      <c r="J4419" s="183" t="s">
        <v>12094</v>
      </c>
      <c r="K4419">
        <v>0</v>
      </c>
      <c r="L4419">
        <v>109</v>
      </c>
    </row>
    <row r="4420" spans="1:12">
      <c r="A4420" s="183" t="s">
        <v>6432</v>
      </c>
      <c r="B4420" s="183" t="s">
        <v>1006</v>
      </c>
      <c r="C4420">
        <v>8809867704678</v>
      </c>
      <c r="D4420">
        <v>88</v>
      </c>
      <c r="E4420">
        <v>0</v>
      </c>
      <c r="F4420">
        <v>0</v>
      </c>
      <c r="G4420">
        <v>0</v>
      </c>
      <c r="H4420">
        <v>88</v>
      </c>
      <c r="I4420" s="183" t="s">
        <v>1007</v>
      </c>
      <c r="J4420" s="183" t="s">
        <v>12091</v>
      </c>
      <c r="K4420">
        <v>0</v>
      </c>
      <c r="L4420">
        <v>88</v>
      </c>
    </row>
    <row r="4421" spans="1:12">
      <c r="A4421" s="183" t="s">
        <v>2142</v>
      </c>
      <c r="B4421" s="183" t="s">
        <v>1042</v>
      </c>
      <c r="C4421">
        <v>8809867704791</v>
      </c>
      <c r="D4421">
        <v>34</v>
      </c>
      <c r="E4421">
        <v>0</v>
      </c>
      <c r="F4421">
        <v>0</v>
      </c>
      <c r="G4421">
        <v>0</v>
      </c>
      <c r="H4421">
        <v>34</v>
      </c>
      <c r="I4421" s="183" t="s">
        <v>1043</v>
      </c>
      <c r="J4421" s="183" t="s">
        <v>12059</v>
      </c>
      <c r="K4421">
        <v>0</v>
      </c>
      <c r="L4421">
        <v>34</v>
      </c>
    </row>
    <row r="4422" spans="1:12">
      <c r="A4422" s="183" t="s">
        <v>1041</v>
      </c>
      <c r="B4422" s="183" t="s">
        <v>1042</v>
      </c>
      <c r="C4422">
        <v>8809867704975</v>
      </c>
      <c r="D4422">
        <v>129</v>
      </c>
      <c r="E4422">
        <v>0</v>
      </c>
      <c r="F4422">
        <v>0</v>
      </c>
      <c r="G4422">
        <v>0</v>
      </c>
      <c r="H4422">
        <v>129</v>
      </c>
      <c r="I4422" s="183" t="s">
        <v>1043</v>
      </c>
      <c r="J4422" s="183" t="s">
        <v>12059</v>
      </c>
      <c r="K4422">
        <v>0</v>
      </c>
      <c r="L4422">
        <v>129</v>
      </c>
    </row>
    <row r="4423" spans="1:12">
      <c r="A4423" s="183" t="s">
        <v>2459</v>
      </c>
      <c r="B4423" s="183" t="s">
        <v>1042</v>
      </c>
      <c r="C4423">
        <v>8809867704982</v>
      </c>
      <c r="D4423">
        <v>130</v>
      </c>
      <c r="E4423">
        <v>0</v>
      </c>
      <c r="F4423">
        <v>0</v>
      </c>
      <c r="G4423">
        <v>0</v>
      </c>
      <c r="H4423">
        <v>130</v>
      </c>
      <c r="I4423" s="183" t="s">
        <v>1043</v>
      </c>
      <c r="J4423" s="183" t="s">
        <v>12093</v>
      </c>
      <c r="K4423">
        <v>0</v>
      </c>
      <c r="L4423">
        <v>130</v>
      </c>
    </row>
    <row r="4424" spans="1:12">
      <c r="A4424" s="183" t="s">
        <v>2127</v>
      </c>
      <c r="B4424" s="183" t="s">
        <v>1042</v>
      </c>
      <c r="C4424">
        <v>8809867704999</v>
      </c>
      <c r="D4424">
        <v>219</v>
      </c>
      <c r="E4424">
        <v>0</v>
      </c>
      <c r="F4424">
        <v>0</v>
      </c>
      <c r="G4424">
        <v>0</v>
      </c>
      <c r="H4424">
        <v>219</v>
      </c>
      <c r="I4424" s="183" t="s">
        <v>1043</v>
      </c>
      <c r="J4424" s="183" t="s">
        <v>12060</v>
      </c>
      <c r="K4424">
        <v>0</v>
      </c>
      <c r="L4424">
        <v>219</v>
      </c>
    </row>
    <row r="4425" spans="1:12">
      <c r="A4425" s="183" t="s">
        <v>1446</v>
      </c>
      <c r="B4425" s="183" t="s">
        <v>1178</v>
      </c>
      <c r="C4425">
        <v>8809867705101</v>
      </c>
      <c r="D4425">
        <v>123</v>
      </c>
      <c r="E4425">
        <v>0</v>
      </c>
      <c r="F4425">
        <v>0</v>
      </c>
      <c r="G4425">
        <v>0</v>
      </c>
      <c r="H4425">
        <v>123</v>
      </c>
      <c r="I4425" s="183" t="s">
        <v>1179</v>
      </c>
      <c r="J4425" s="183" t="s">
        <v>12067</v>
      </c>
      <c r="K4425">
        <v>0</v>
      </c>
      <c r="L4425">
        <v>123</v>
      </c>
    </row>
    <row r="4426" spans="1:12">
      <c r="A4426" s="183" t="s">
        <v>1235</v>
      </c>
      <c r="B4426" s="183" t="s">
        <v>1178</v>
      </c>
      <c r="C4426">
        <v>8809867705156</v>
      </c>
      <c r="D4426">
        <v>73</v>
      </c>
      <c r="E4426">
        <v>0</v>
      </c>
      <c r="F4426">
        <v>0</v>
      </c>
      <c r="G4426">
        <v>0</v>
      </c>
      <c r="H4426">
        <v>73</v>
      </c>
      <c r="I4426" s="183" t="s">
        <v>1179</v>
      </c>
      <c r="J4426" s="183" t="s">
        <v>12091</v>
      </c>
      <c r="K4426">
        <v>0</v>
      </c>
      <c r="L4426">
        <v>73</v>
      </c>
    </row>
    <row r="4427" spans="1:12">
      <c r="A4427" s="183" t="s">
        <v>2441</v>
      </c>
      <c r="B4427" s="183" t="s">
        <v>1178</v>
      </c>
      <c r="C4427">
        <v>8809867705170</v>
      </c>
      <c r="D4427">
        <v>143</v>
      </c>
      <c r="E4427">
        <v>0</v>
      </c>
      <c r="F4427">
        <v>0</v>
      </c>
      <c r="G4427">
        <v>0</v>
      </c>
      <c r="H4427">
        <v>143</v>
      </c>
      <c r="I4427" s="183" t="s">
        <v>1179</v>
      </c>
      <c r="J4427" s="183" t="s">
        <v>12092</v>
      </c>
      <c r="K4427">
        <v>0</v>
      </c>
      <c r="L4427">
        <v>143</v>
      </c>
    </row>
    <row r="4428" spans="1:12">
      <c r="A4428" s="183" t="s">
        <v>1982</v>
      </c>
      <c r="B4428" s="183" t="s">
        <v>1178</v>
      </c>
      <c r="C4428">
        <v>8809867705262</v>
      </c>
      <c r="D4428">
        <v>172</v>
      </c>
      <c r="E4428">
        <v>0</v>
      </c>
      <c r="F4428">
        <v>0</v>
      </c>
      <c r="G4428">
        <v>0</v>
      </c>
      <c r="H4428">
        <v>172</v>
      </c>
      <c r="I4428" s="183" t="s">
        <v>1179</v>
      </c>
      <c r="J4428" s="183" t="s">
        <v>12059</v>
      </c>
      <c r="K4428">
        <v>0</v>
      </c>
      <c r="L4428">
        <v>172</v>
      </c>
    </row>
    <row r="4429" spans="1:12">
      <c r="A4429" s="183" t="s">
        <v>2290</v>
      </c>
      <c r="B4429" s="183" t="s">
        <v>1420</v>
      </c>
      <c r="C4429">
        <v>8809867705323</v>
      </c>
      <c r="D4429">
        <v>102</v>
      </c>
      <c r="E4429">
        <v>0</v>
      </c>
      <c r="F4429">
        <v>0</v>
      </c>
      <c r="G4429">
        <v>0</v>
      </c>
      <c r="H4429">
        <v>102</v>
      </c>
      <c r="I4429" s="183" t="s">
        <v>1421</v>
      </c>
      <c r="J4429" s="183" t="s">
        <v>12067</v>
      </c>
      <c r="K4429">
        <v>0</v>
      </c>
      <c r="L4429">
        <v>102</v>
      </c>
    </row>
    <row r="4430" spans="1:12">
      <c r="A4430" s="183" t="s">
        <v>1974</v>
      </c>
      <c r="B4430" s="183" t="s">
        <v>1420</v>
      </c>
      <c r="C4430">
        <v>8809867705439</v>
      </c>
      <c r="D4430">
        <v>98</v>
      </c>
      <c r="E4430">
        <v>0</v>
      </c>
      <c r="F4430">
        <v>0</v>
      </c>
      <c r="G4430">
        <v>0</v>
      </c>
      <c r="H4430">
        <v>98</v>
      </c>
      <c r="I4430" s="183" t="s">
        <v>1421</v>
      </c>
      <c r="J4430" s="183" t="s">
        <v>12066</v>
      </c>
      <c r="K4430">
        <v>0</v>
      </c>
      <c r="L4430">
        <v>98</v>
      </c>
    </row>
    <row r="4431" spans="1:12">
      <c r="A4431" s="183" t="s">
        <v>2132</v>
      </c>
      <c r="B4431" s="183" t="s">
        <v>1420</v>
      </c>
      <c r="C4431">
        <v>8809867705507</v>
      </c>
      <c r="D4431">
        <v>132</v>
      </c>
      <c r="E4431">
        <v>0</v>
      </c>
      <c r="F4431">
        <v>0</v>
      </c>
      <c r="G4431">
        <v>0</v>
      </c>
      <c r="H4431">
        <v>132</v>
      </c>
      <c r="I4431" s="183" t="s">
        <v>1421</v>
      </c>
      <c r="J4431" s="183" t="s">
        <v>12066</v>
      </c>
      <c r="K4431">
        <v>0</v>
      </c>
      <c r="L4431">
        <v>132</v>
      </c>
    </row>
    <row r="4432" spans="1:12">
      <c r="A4432" s="183" t="s">
        <v>2145</v>
      </c>
      <c r="B4432" s="183" t="s">
        <v>1420</v>
      </c>
      <c r="C4432">
        <v>8809867705545</v>
      </c>
      <c r="D4432">
        <v>215</v>
      </c>
      <c r="E4432">
        <v>0</v>
      </c>
      <c r="F4432">
        <v>0</v>
      </c>
      <c r="G4432">
        <v>0</v>
      </c>
      <c r="H4432">
        <v>215</v>
      </c>
      <c r="I4432" s="183" t="s">
        <v>1421</v>
      </c>
      <c r="J4432" s="183" t="s">
        <v>12094</v>
      </c>
      <c r="K4432">
        <v>0</v>
      </c>
      <c r="L4432">
        <v>215</v>
      </c>
    </row>
    <row r="4433" spans="1:12">
      <c r="A4433" s="183" t="s">
        <v>3287</v>
      </c>
      <c r="B4433" s="183" t="s">
        <v>3288</v>
      </c>
      <c r="C4433">
        <v>8809959704067</v>
      </c>
      <c r="D4433">
        <v>312</v>
      </c>
      <c r="E4433">
        <v>0</v>
      </c>
      <c r="F4433">
        <v>0</v>
      </c>
      <c r="G4433">
        <v>0</v>
      </c>
      <c r="H4433">
        <v>312</v>
      </c>
      <c r="I4433" s="183" t="s">
        <v>3278</v>
      </c>
      <c r="J4433" s="183" t="s">
        <v>12091</v>
      </c>
      <c r="K4433">
        <v>0</v>
      </c>
      <c r="L4433">
        <v>312</v>
      </c>
    </row>
    <row r="4434" spans="1:12">
      <c r="A4434" s="183" t="s">
        <v>3307</v>
      </c>
      <c r="B4434" s="183" t="s">
        <v>3308</v>
      </c>
      <c r="C4434">
        <v>8809959704104</v>
      </c>
      <c r="D4434">
        <v>56</v>
      </c>
      <c r="E4434">
        <v>0</v>
      </c>
      <c r="F4434">
        <v>0</v>
      </c>
      <c r="G4434">
        <v>0</v>
      </c>
      <c r="H4434">
        <v>56</v>
      </c>
      <c r="I4434" s="183" t="s">
        <v>3278</v>
      </c>
      <c r="J4434" s="183" t="s">
        <v>12093</v>
      </c>
      <c r="K4434">
        <v>0</v>
      </c>
      <c r="L4434">
        <v>56</v>
      </c>
    </row>
    <row r="4435" spans="1:12">
      <c r="A4435" s="183" t="s">
        <v>3309</v>
      </c>
      <c r="B4435" s="183" t="s">
        <v>3310</v>
      </c>
      <c r="C4435">
        <v>8809959704135</v>
      </c>
      <c r="D4435">
        <v>69</v>
      </c>
      <c r="E4435">
        <v>0</v>
      </c>
      <c r="F4435">
        <v>0</v>
      </c>
      <c r="G4435">
        <v>0</v>
      </c>
      <c r="H4435">
        <v>69</v>
      </c>
      <c r="I4435" s="183" t="s">
        <v>3278</v>
      </c>
      <c r="J4435" s="183" t="s">
        <v>12093</v>
      </c>
      <c r="K4435">
        <v>0</v>
      </c>
      <c r="L4435">
        <v>69</v>
      </c>
    </row>
    <row r="4436" spans="1:12">
      <c r="A4436" s="183" t="s">
        <v>3268</v>
      </c>
      <c r="B4436" s="183" t="s">
        <v>3269</v>
      </c>
      <c r="C4436">
        <v>8809959704210</v>
      </c>
      <c r="D4436">
        <v>418</v>
      </c>
      <c r="E4436">
        <v>0</v>
      </c>
      <c r="F4436">
        <v>0</v>
      </c>
      <c r="G4436">
        <v>0</v>
      </c>
      <c r="H4436">
        <v>418</v>
      </c>
      <c r="I4436" s="183" t="s">
        <v>3235</v>
      </c>
      <c r="J4436" s="183" t="s">
        <v>12093</v>
      </c>
      <c r="K4436">
        <v>0</v>
      </c>
      <c r="L4436">
        <v>418</v>
      </c>
    </row>
    <row r="4437" spans="1:12">
      <c r="A4437" s="183" t="s">
        <v>3238</v>
      </c>
      <c r="B4437" s="183" t="s">
        <v>3239</v>
      </c>
      <c r="C4437">
        <v>8809959704302</v>
      </c>
      <c r="D4437">
        <v>151</v>
      </c>
      <c r="E4437">
        <v>0</v>
      </c>
      <c r="F4437">
        <v>0</v>
      </c>
      <c r="G4437">
        <v>0</v>
      </c>
      <c r="H4437">
        <v>151</v>
      </c>
      <c r="I4437" s="183" t="s">
        <v>3235</v>
      </c>
      <c r="J4437" s="183" t="s">
        <v>12092</v>
      </c>
      <c r="K4437">
        <v>0</v>
      </c>
      <c r="L4437">
        <v>151</v>
      </c>
    </row>
    <row r="4438" spans="1:12">
      <c r="A4438" s="183" t="s">
        <v>3270</v>
      </c>
      <c r="B4438" s="183" t="s">
        <v>3271</v>
      </c>
      <c r="C4438">
        <v>8809959704319</v>
      </c>
      <c r="D4438">
        <v>472</v>
      </c>
      <c r="E4438">
        <v>0</v>
      </c>
      <c r="F4438">
        <v>0</v>
      </c>
      <c r="G4438">
        <v>0</v>
      </c>
      <c r="H4438">
        <v>472</v>
      </c>
      <c r="I4438" s="183" t="s">
        <v>3235</v>
      </c>
      <c r="J4438" s="183" t="s">
        <v>12053</v>
      </c>
      <c r="K4438">
        <v>0</v>
      </c>
      <c r="L4438">
        <v>472</v>
      </c>
    </row>
    <row r="4439" spans="1:12">
      <c r="A4439" s="183" t="s">
        <v>1245</v>
      </c>
      <c r="B4439" s="183" t="s">
        <v>982</v>
      </c>
      <c r="C4439">
        <v>18800208</v>
      </c>
      <c r="D4439" s="501">
        <v>2722</v>
      </c>
      <c r="E4439">
        <v>0</v>
      </c>
      <c r="F4439">
        <v>0</v>
      </c>
      <c r="G4439">
        <v>0</v>
      </c>
      <c r="H4439" s="501">
        <v>2722</v>
      </c>
      <c r="I4439" s="183" t="s">
        <v>983</v>
      </c>
      <c r="J4439" s="183" t="s">
        <v>12087</v>
      </c>
      <c r="K4439">
        <v>0</v>
      </c>
      <c r="L4439" s="501">
        <v>2722</v>
      </c>
    </row>
    <row r="4440" spans="1:12">
      <c r="A4440" s="183" t="s">
        <v>1238</v>
      </c>
      <c r="B4440" s="183" t="s">
        <v>982</v>
      </c>
      <c r="C4440">
        <v>18800209</v>
      </c>
      <c r="D4440" s="501">
        <v>1041</v>
      </c>
      <c r="E4440">
        <v>0</v>
      </c>
      <c r="F4440">
        <v>0</v>
      </c>
      <c r="G4440">
        <v>0</v>
      </c>
      <c r="H4440" s="501">
        <v>1041</v>
      </c>
      <c r="I4440" s="183" t="s">
        <v>983</v>
      </c>
      <c r="J4440" s="183" t="s">
        <v>12067</v>
      </c>
      <c r="K4440">
        <v>0</v>
      </c>
      <c r="L4440" s="501">
        <v>1041</v>
      </c>
    </row>
    <row r="4441" spans="1:12">
      <c r="A4441" s="183" t="s">
        <v>1231</v>
      </c>
      <c r="B4441" s="183" t="s">
        <v>982</v>
      </c>
      <c r="C4441">
        <v>18800230</v>
      </c>
      <c r="D4441" s="501">
        <v>1114</v>
      </c>
      <c r="E4441">
        <v>0</v>
      </c>
      <c r="F4441">
        <v>0</v>
      </c>
      <c r="G4441">
        <v>0</v>
      </c>
      <c r="H4441" s="501">
        <v>1114</v>
      </c>
      <c r="I4441" s="183" t="s">
        <v>983</v>
      </c>
      <c r="J4441" s="183" t="s">
        <v>12053</v>
      </c>
      <c r="K4441">
        <v>0</v>
      </c>
      <c r="L4441" s="501">
        <v>1114</v>
      </c>
    </row>
    <row r="4442" spans="1:12">
      <c r="A4442" s="183" t="s">
        <v>1047</v>
      </c>
      <c r="B4442" s="183" t="s">
        <v>1035</v>
      </c>
      <c r="C4442">
        <v>18810202</v>
      </c>
      <c r="D4442" s="501">
        <v>1874</v>
      </c>
      <c r="E4442">
        <v>0</v>
      </c>
      <c r="F4442">
        <v>0</v>
      </c>
      <c r="G4442">
        <v>0</v>
      </c>
      <c r="H4442" s="501">
        <v>1874</v>
      </c>
      <c r="I4442" s="183" t="s">
        <v>1036</v>
      </c>
      <c r="J4442" s="183" t="s">
        <v>12081</v>
      </c>
      <c r="K4442">
        <v>0</v>
      </c>
      <c r="L4442" s="501">
        <v>1874</v>
      </c>
    </row>
    <row r="4443" spans="1:12">
      <c r="A4443" s="183" t="s">
        <v>1229</v>
      </c>
      <c r="B4443" s="183" t="s">
        <v>1035</v>
      </c>
      <c r="C4443">
        <v>18810205</v>
      </c>
      <c r="D4443" s="501">
        <v>1391</v>
      </c>
      <c r="E4443">
        <v>0</v>
      </c>
      <c r="F4443">
        <v>0</v>
      </c>
      <c r="G4443">
        <v>0</v>
      </c>
      <c r="H4443" s="501">
        <v>1391</v>
      </c>
      <c r="I4443" s="183" t="s">
        <v>1036</v>
      </c>
      <c r="J4443" s="183" t="s">
        <v>12093</v>
      </c>
      <c r="K4443">
        <v>0</v>
      </c>
      <c r="L4443" s="501">
        <v>1391</v>
      </c>
    </row>
    <row r="4444" spans="1:12">
      <c r="A4444" s="183" t="s">
        <v>1240</v>
      </c>
      <c r="B4444" s="183" t="s">
        <v>1035</v>
      </c>
      <c r="C4444">
        <v>18810207</v>
      </c>
      <c r="D4444" s="501">
        <v>1254</v>
      </c>
      <c r="E4444">
        <v>0</v>
      </c>
      <c r="F4444">
        <v>0</v>
      </c>
      <c r="G4444">
        <v>0</v>
      </c>
      <c r="H4444" s="501">
        <v>1254</v>
      </c>
      <c r="I4444" s="183" t="s">
        <v>1036</v>
      </c>
      <c r="J4444" s="183" t="s">
        <v>12067</v>
      </c>
      <c r="K4444">
        <v>0</v>
      </c>
      <c r="L4444" s="501">
        <v>1254</v>
      </c>
    </row>
    <row r="4445" spans="1:12">
      <c r="A4445" s="183" t="s">
        <v>1034</v>
      </c>
      <c r="B4445" s="183" t="s">
        <v>1035</v>
      </c>
      <c r="C4445">
        <v>18810210</v>
      </c>
      <c r="D4445" s="501">
        <v>3663</v>
      </c>
      <c r="E4445">
        <v>0</v>
      </c>
      <c r="F4445">
        <v>0</v>
      </c>
      <c r="G4445">
        <v>0</v>
      </c>
      <c r="H4445" s="501">
        <v>3663</v>
      </c>
      <c r="I4445" s="183" t="s">
        <v>1036</v>
      </c>
      <c r="J4445" s="183" t="s">
        <v>12053</v>
      </c>
      <c r="K4445">
        <v>0</v>
      </c>
      <c r="L4445" s="501">
        <v>3663</v>
      </c>
    </row>
    <row r="4446" spans="1:12">
      <c r="A4446" s="183" t="s">
        <v>1241</v>
      </c>
      <c r="B4446" s="183" t="s">
        <v>1035</v>
      </c>
      <c r="C4446">
        <v>18810211</v>
      </c>
      <c r="D4446">
        <v>902</v>
      </c>
      <c r="E4446">
        <v>0</v>
      </c>
      <c r="F4446">
        <v>0</v>
      </c>
      <c r="G4446">
        <v>0</v>
      </c>
      <c r="H4446">
        <v>902</v>
      </c>
      <c r="I4446" s="183" t="s">
        <v>1036</v>
      </c>
      <c r="J4446" s="183" t="s">
        <v>12094</v>
      </c>
      <c r="K4446">
        <v>0</v>
      </c>
      <c r="L4446">
        <v>902</v>
      </c>
    </row>
    <row r="4447" spans="1:12">
      <c r="A4447" s="183" t="s">
        <v>1137</v>
      </c>
      <c r="B4447" s="183" t="s">
        <v>1035</v>
      </c>
      <c r="C4447">
        <v>18810221</v>
      </c>
      <c r="D4447" s="501">
        <v>1239</v>
      </c>
      <c r="E4447">
        <v>0</v>
      </c>
      <c r="F4447">
        <v>0</v>
      </c>
      <c r="G4447">
        <v>0</v>
      </c>
      <c r="H4447" s="501">
        <v>1239</v>
      </c>
      <c r="I4447" s="183" t="s">
        <v>1036</v>
      </c>
      <c r="J4447" s="183" t="s">
        <v>12067</v>
      </c>
      <c r="K4447">
        <v>0</v>
      </c>
      <c r="L4447" s="501">
        <v>1239</v>
      </c>
    </row>
    <row r="4448" spans="1:12">
      <c r="A4448" s="183" t="s">
        <v>1046</v>
      </c>
      <c r="B4448" s="183" t="s">
        <v>1035</v>
      </c>
      <c r="C4448">
        <v>18810232</v>
      </c>
      <c r="D4448" s="501">
        <v>1305</v>
      </c>
      <c r="E4448">
        <v>0</v>
      </c>
      <c r="F4448">
        <v>0</v>
      </c>
      <c r="G4448">
        <v>0</v>
      </c>
      <c r="H4448" s="501">
        <v>1305</v>
      </c>
      <c r="I4448" s="183" t="s">
        <v>1036</v>
      </c>
      <c r="J4448" s="183" t="s">
        <v>12067</v>
      </c>
      <c r="K4448">
        <v>0</v>
      </c>
      <c r="L4448" s="501">
        <v>1305</v>
      </c>
    </row>
    <row r="4449" spans="1:12">
      <c r="A4449" s="183" t="s">
        <v>4631</v>
      </c>
      <c r="B4449" s="183" t="s">
        <v>1014</v>
      </c>
      <c r="C4449">
        <v>18820209</v>
      </c>
      <c r="D4449">
        <v>181</v>
      </c>
      <c r="E4449">
        <v>0</v>
      </c>
      <c r="F4449">
        <v>0</v>
      </c>
      <c r="G4449">
        <v>0</v>
      </c>
      <c r="H4449">
        <v>181</v>
      </c>
      <c r="I4449" s="183" t="s">
        <v>1015</v>
      </c>
      <c r="J4449" s="183" t="s">
        <v>12059</v>
      </c>
      <c r="K4449">
        <v>0</v>
      </c>
      <c r="L4449">
        <v>181</v>
      </c>
    </row>
    <row r="4450" spans="1:12">
      <c r="A4450" s="183" t="s">
        <v>3580</v>
      </c>
      <c r="B4450" s="183" t="s">
        <v>1014</v>
      </c>
      <c r="C4450">
        <v>18820224</v>
      </c>
      <c r="D4450">
        <v>107</v>
      </c>
      <c r="E4450">
        <v>0</v>
      </c>
      <c r="F4450">
        <v>0</v>
      </c>
      <c r="G4450">
        <v>0</v>
      </c>
      <c r="H4450">
        <v>107</v>
      </c>
      <c r="I4450" s="183" t="s">
        <v>1015</v>
      </c>
      <c r="J4450" s="183" t="s">
        <v>12060</v>
      </c>
      <c r="K4450">
        <v>0</v>
      </c>
      <c r="L4450">
        <v>107</v>
      </c>
    </row>
    <row r="4451" spans="1:12">
      <c r="A4451" s="183" t="s">
        <v>3581</v>
      </c>
      <c r="B4451" s="183" t="s">
        <v>1014</v>
      </c>
      <c r="C4451">
        <v>18820226</v>
      </c>
      <c r="D4451">
        <v>206</v>
      </c>
      <c r="E4451">
        <v>0</v>
      </c>
      <c r="F4451">
        <v>0</v>
      </c>
      <c r="G4451">
        <v>0</v>
      </c>
      <c r="H4451">
        <v>206</v>
      </c>
      <c r="I4451" s="183" t="s">
        <v>1015</v>
      </c>
      <c r="J4451" s="183" t="s">
        <v>12091</v>
      </c>
      <c r="K4451">
        <v>0</v>
      </c>
      <c r="L4451">
        <v>206</v>
      </c>
    </row>
    <row r="4452" spans="1:12">
      <c r="A4452" s="183" t="s">
        <v>1239</v>
      </c>
      <c r="B4452" s="183" t="s">
        <v>1203</v>
      </c>
      <c r="C4452">
        <v>18830206</v>
      </c>
      <c r="D4452" s="501">
        <v>2229</v>
      </c>
      <c r="E4452">
        <v>0</v>
      </c>
      <c r="F4452">
        <v>0</v>
      </c>
      <c r="G4452">
        <v>0</v>
      </c>
      <c r="H4452" s="501">
        <v>2229</v>
      </c>
      <c r="I4452" s="183" t="s">
        <v>1204</v>
      </c>
      <c r="J4452" s="183" t="s">
        <v>12092</v>
      </c>
      <c r="K4452">
        <v>0</v>
      </c>
      <c r="L4452" s="501">
        <v>2229</v>
      </c>
    </row>
    <row r="4453" spans="1:12">
      <c r="A4453" s="183" t="s">
        <v>1469</v>
      </c>
      <c r="B4453" s="183" t="s">
        <v>1203</v>
      </c>
      <c r="C4453">
        <v>18830209</v>
      </c>
      <c r="D4453" s="501">
        <v>1952</v>
      </c>
      <c r="E4453">
        <v>0</v>
      </c>
      <c r="F4453">
        <v>0</v>
      </c>
      <c r="G4453">
        <v>0</v>
      </c>
      <c r="H4453" s="501">
        <v>1952</v>
      </c>
      <c r="I4453" s="183" t="s">
        <v>1204</v>
      </c>
      <c r="J4453" s="183" t="s">
        <v>12092</v>
      </c>
      <c r="K4453">
        <v>0</v>
      </c>
      <c r="L4453" s="501">
        <v>1952</v>
      </c>
    </row>
    <row r="4454" spans="1:12">
      <c r="A4454" s="183" t="s">
        <v>2458</v>
      </c>
      <c r="B4454" s="183" t="s">
        <v>1203</v>
      </c>
      <c r="C4454">
        <v>18830211</v>
      </c>
      <c r="D4454" s="501">
        <v>2039</v>
      </c>
      <c r="E4454">
        <v>0</v>
      </c>
      <c r="F4454">
        <v>0</v>
      </c>
      <c r="G4454">
        <v>0</v>
      </c>
      <c r="H4454" s="501">
        <v>2039</v>
      </c>
      <c r="I4454" s="183" t="s">
        <v>1204</v>
      </c>
      <c r="J4454" s="183" t="s">
        <v>12092</v>
      </c>
      <c r="K4454">
        <v>0</v>
      </c>
      <c r="L4454" s="501">
        <v>2039</v>
      </c>
    </row>
    <row r="4455" spans="1:12">
      <c r="A4455" s="183" t="s">
        <v>2669</v>
      </c>
      <c r="B4455" s="183" t="s">
        <v>1203</v>
      </c>
      <c r="C4455">
        <v>18830212</v>
      </c>
      <c r="D4455" s="501">
        <v>2314</v>
      </c>
      <c r="E4455">
        <v>0</v>
      </c>
      <c r="F4455">
        <v>0</v>
      </c>
      <c r="G4455">
        <v>0</v>
      </c>
      <c r="H4455" s="501">
        <v>2314</v>
      </c>
      <c r="I4455" s="183" t="s">
        <v>1204</v>
      </c>
      <c r="J4455" s="183" t="s">
        <v>12060</v>
      </c>
      <c r="K4455">
        <v>0</v>
      </c>
      <c r="L4455" s="501">
        <v>2314</v>
      </c>
    </row>
    <row r="4456" spans="1:12">
      <c r="A4456" s="183" t="s">
        <v>2446</v>
      </c>
      <c r="B4456" s="183" t="s">
        <v>1203</v>
      </c>
      <c r="C4456">
        <v>18830218</v>
      </c>
      <c r="D4456" s="501">
        <v>2875</v>
      </c>
      <c r="E4456">
        <v>0</v>
      </c>
      <c r="F4456">
        <v>0</v>
      </c>
      <c r="G4456">
        <v>0</v>
      </c>
      <c r="H4456" s="501">
        <v>2875</v>
      </c>
      <c r="I4456" s="183" t="s">
        <v>1204</v>
      </c>
      <c r="J4456" s="183" t="s">
        <v>12085</v>
      </c>
      <c r="K4456">
        <v>0</v>
      </c>
      <c r="L4456" s="501">
        <v>2875</v>
      </c>
    </row>
    <row r="4457" spans="1:12">
      <c r="A4457" s="183" t="s">
        <v>1973</v>
      </c>
      <c r="B4457" s="183" t="s">
        <v>1203</v>
      </c>
      <c r="C4457">
        <v>18830236</v>
      </c>
      <c r="D4457" s="501">
        <v>1564</v>
      </c>
      <c r="E4457">
        <v>0</v>
      </c>
      <c r="F4457">
        <v>0</v>
      </c>
      <c r="G4457">
        <v>0</v>
      </c>
      <c r="H4457" s="501">
        <v>1564</v>
      </c>
      <c r="I4457" s="183" t="s">
        <v>1204</v>
      </c>
      <c r="J4457" s="183" t="s">
        <v>12094</v>
      </c>
      <c r="K4457">
        <v>0</v>
      </c>
      <c r="L4457" s="501">
        <v>1564</v>
      </c>
    </row>
    <row r="4458" spans="1:12">
      <c r="A4458" s="183" t="s">
        <v>1343</v>
      </c>
      <c r="B4458" s="183" t="s">
        <v>1206</v>
      </c>
      <c r="C4458">
        <v>18840203</v>
      </c>
      <c r="D4458" s="501">
        <v>2428</v>
      </c>
      <c r="E4458">
        <v>0</v>
      </c>
      <c r="F4458">
        <v>0</v>
      </c>
      <c r="G4458">
        <v>0</v>
      </c>
      <c r="H4458" s="501">
        <v>2428</v>
      </c>
      <c r="I4458" s="183" t="s">
        <v>1207</v>
      </c>
      <c r="J4458" s="183" t="s">
        <v>12087</v>
      </c>
      <c r="K4458">
        <v>0</v>
      </c>
      <c r="L4458" s="501">
        <v>2428</v>
      </c>
    </row>
    <row r="4459" spans="1:12">
      <c r="A4459" s="183" t="s">
        <v>1977</v>
      </c>
      <c r="B4459" s="183" t="s">
        <v>1206</v>
      </c>
      <c r="C4459">
        <v>18840208</v>
      </c>
      <c r="D4459" s="501">
        <v>4672</v>
      </c>
      <c r="E4459">
        <v>0</v>
      </c>
      <c r="F4459">
        <v>0</v>
      </c>
      <c r="G4459">
        <v>0</v>
      </c>
      <c r="H4459" s="501">
        <v>4672</v>
      </c>
      <c r="I4459" s="183" t="s">
        <v>1207</v>
      </c>
      <c r="J4459" s="183" t="s">
        <v>12081</v>
      </c>
      <c r="K4459">
        <v>0</v>
      </c>
      <c r="L4459" s="501">
        <v>4672</v>
      </c>
    </row>
    <row r="4460" spans="1:12">
      <c r="A4460" s="183" t="s">
        <v>2668</v>
      </c>
      <c r="B4460" s="183" t="s">
        <v>1206</v>
      </c>
      <c r="C4460">
        <v>18840232</v>
      </c>
      <c r="D4460" s="501">
        <v>2008</v>
      </c>
      <c r="E4460">
        <v>0</v>
      </c>
      <c r="F4460">
        <v>0</v>
      </c>
      <c r="G4460">
        <v>0</v>
      </c>
      <c r="H4460" s="501">
        <v>2008</v>
      </c>
      <c r="I4460" s="183" t="s">
        <v>1207</v>
      </c>
      <c r="J4460" s="183" t="s">
        <v>12092</v>
      </c>
      <c r="K4460">
        <v>0</v>
      </c>
      <c r="L4460" s="501">
        <v>2008</v>
      </c>
    </row>
    <row r="4461" spans="1:12">
      <c r="A4461" s="183" t="s">
        <v>6395</v>
      </c>
      <c r="B4461" s="183" t="s">
        <v>6338</v>
      </c>
      <c r="C4461">
        <v>8806392046556</v>
      </c>
      <c r="D4461">
        <v>447</v>
      </c>
      <c r="E4461">
        <v>0</v>
      </c>
      <c r="F4461">
        <v>0</v>
      </c>
      <c r="G4461">
        <v>0</v>
      </c>
      <c r="H4461">
        <v>447</v>
      </c>
      <c r="I4461" s="183" t="s">
        <v>6339</v>
      </c>
      <c r="J4461" s="183" t="s">
        <v>12067</v>
      </c>
      <c r="K4461">
        <v>0</v>
      </c>
      <c r="L4461">
        <v>447</v>
      </c>
    </row>
    <row r="4462" spans="1:12">
      <c r="A4462" s="183" t="s">
        <v>6893</v>
      </c>
      <c r="B4462" s="183" t="s">
        <v>6338</v>
      </c>
      <c r="C4462">
        <v>8806392046563</v>
      </c>
      <c r="D4462">
        <v>450</v>
      </c>
      <c r="E4462">
        <v>0</v>
      </c>
      <c r="F4462">
        <v>0</v>
      </c>
      <c r="G4462">
        <v>0</v>
      </c>
      <c r="H4462">
        <v>450</v>
      </c>
      <c r="I4462" s="183" t="s">
        <v>6339</v>
      </c>
      <c r="J4462" s="183" t="s">
        <v>12092</v>
      </c>
      <c r="K4462">
        <v>0</v>
      </c>
      <c r="L4462">
        <v>450</v>
      </c>
    </row>
    <row r="4463" spans="1:12">
      <c r="A4463" s="183" t="s">
        <v>12008</v>
      </c>
      <c r="B4463" s="183" t="s">
        <v>6338</v>
      </c>
      <c r="C4463">
        <v>8806392046679</v>
      </c>
      <c r="D4463">
        <v>783</v>
      </c>
      <c r="E4463">
        <v>0</v>
      </c>
      <c r="F4463">
        <v>0</v>
      </c>
      <c r="G4463">
        <v>0</v>
      </c>
      <c r="H4463">
        <v>783</v>
      </c>
      <c r="I4463" s="183" t="s">
        <v>6339</v>
      </c>
      <c r="J4463" s="183" t="s">
        <v>12054</v>
      </c>
      <c r="K4463">
        <v>0</v>
      </c>
      <c r="L4463">
        <v>783</v>
      </c>
    </row>
    <row r="4464" spans="1:12">
      <c r="A4464" s="183" t="s">
        <v>2943</v>
      </c>
      <c r="B4464" s="183" t="s">
        <v>1029</v>
      </c>
      <c r="C4464">
        <v>8806392046921</v>
      </c>
      <c r="D4464">
        <v>254</v>
      </c>
      <c r="E4464">
        <v>0</v>
      </c>
      <c r="F4464">
        <v>1</v>
      </c>
      <c r="G4464">
        <v>0</v>
      </c>
      <c r="H4464">
        <v>255</v>
      </c>
      <c r="I4464" s="183" t="s">
        <v>1030</v>
      </c>
      <c r="J4464" s="183" t="s">
        <v>12067</v>
      </c>
      <c r="K4464">
        <v>0</v>
      </c>
      <c r="L4464">
        <v>254</v>
      </c>
    </row>
    <row r="4465" spans="1:12">
      <c r="A4465" s="183" t="s">
        <v>3849</v>
      </c>
      <c r="B4465" s="183" t="s">
        <v>1026</v>
      </c>
      <c r="C4465">
        <v>8806392047188</v>
      </c>
      <c r="D4465">
        <v>371</v>
      </c>
      <c r="E4465">
        <v>0</v>
      </c>
      <c r="F4465">
        <v>0</v>
      </c>
      <c r="G4465">
        <v>0</v>
      </c>
      <c r="H4465">
        <v>371</v>
      </c>
      <c r="I4465" s="183" t="s">
        <v>1027</v>
      </c>
      <c r="J4465" s="183" t="s">
        <v>12094</v>
      </c>
      <c r="K4465">
        <v>0</v>
      </c>
      <c r="L4465">
        <v>371</v>
      </c>
    </row>
    <row r="4466" spans="1:12">
      <c r="A4466" s="183" t="s">
        <v>639</v>
      </c>
      <c r="B4466" s="183" t="s">
        <v>1026</v>
      </c>
      <c r="C4466">
        <v>8806392047249</v>
      </c>
      <c r="D4466">
        <v>484</v>
      </c>
      <c r="E4466">
        <v>0</v>
      </c>
      <c r="F4466">
        <v>0</v>
      </c>
      <c r="G4466">
        <v>0</v>
      </c>
      <c r="H4466">
        <v>484</v>
      </c>
      <c r="I4466" s="183" t="s">
        <v>1027</v>
      </c>
      <c r="J4466" s="183" t="s">
        <v>12091</v>
      </c>
      <c r="K4466">
        <v>0</v>
      </c>
      <c r="L4466">
        <v>484</v>
      </c>
    </row>
    <row r="4467" spans="1:12">
      <c r="A4467" s="183" t="s">
        <v>3505</v>
      </c>
      <c r="B4467" s="183" t="s">
        <v>1026</v>
      </c>
      <c r="C4467">
        <v>8806392047317</v>
      </c>
      <c r="D4467" s="501">
        <v>1475</v>
      </c>
      <c r="E4467">
        <v>0</v>
      </c>
      <c r="F4467">
        <v>0</v>
      </c>
      <c r="G4467">
        <v>0</v>
      </c>
      <c r="H4467" s="501">
        <v>1475</v>
      </c>
      <c r="I4467" s="183" t="s">
        <v>1027</v>
      </c>
      <c r="J4467" s="183" t="s">
        <v>12081</v>
      </c>
      <c r="K4467">
        <v>0</v>
      </c>
      <c r="L4467" s="501">
        <v>1475</v>
      </c>
    </row>
    <row r="4468" spans="1:12">
      <c r="A4468" s="183" t="s">
        <v>642</v>
      </c>
      <c r="B4468" s="183" t="s">
        <v>1026</v>
      </c>
      <c r="C4468">
        <v>8806392047331</v>
      </c>
      <c r="D4468" s="501">
        <v>2104</v>
      </c>
      <c r="E4468">
        <v>0</v>
      </c>
      <c r="F4468">
        <v>0</v>
      </c>
      <c r="G4468">
        <v>0</v>
      </c>
      <c r="H4468" s="501">
        <v>2104</v>
      </c>
      <c r="I4468" s="183" t="s">
        <v>1027</v>
      </c>
      <c r="J4468" s="183" t="s">
        <v>12053</v>
      </c>
      <c r="K4468">
        <v>0</v>
      </c>
      <c r="L4468" s="501">
        <v>2104</v>
      </c>
    </row>
    <row r="4469" spans="1:12">
      <c r="A4469" s="183" t="s">
        <v>1454</v>
      </c>
      <c r="B4469" s="183" t="s">
        <v>1455</v>
      </c>
      <c r="C4469">
        <v>8809867707860</v>
      </c>
      <c r="D4469">
        <v>282</v>
      </c>
      <c r="E4469">
        <v>0</v>
      </c>
      <c r="F4469">
        <v>0</v>
      </c>
      <c r="G4469">
        <v>0</v>
      </c>
      <c r="H4469">
        <v>282</v>
      </c>
      <c r="I4469" s="183" t="s">
        <v>1456</v>
      </c>
      <c r="J4469" s="183" t="s">
        <v>12085</v>
      </c>
      <c r="K4469">
        <v>0</v>
      </c>
      <c r="L4469">
        <v>282</v>
      </c>
    </row>
    <row r="4470" spans="1:12">
      <c r="A4470" s="183" t="s">
        <v>3168</v>
      </c>
      <c r="B4470" s="183" t="s">
        <v>1069</v>
      </c>
      <c r="C4470">
        <v>8806392047829</v>
      </c>
      <c r="D4470">
        <v>770</v>
      </c>
      <c r="E4470">
        <v>0</v>
      </c>
      <c r="F4470">
        <v>0</v>
      </c>
      <c r="G4470">
        <v>0</v>
      </c>
      <c r="H4470">
        <v>770</v>
      </c>
      <c r="I4470" s="183" t="s">
        <v>1070</v>
      </c>
      <c r="J4470" s="183" t="s">
        <v>12081</v>
      </c>
      <c r="K4470">
        <v>0</v>
      </c>
      <c r="L4470">
        <v>770</v>
      </c>
    </row>
    <row r="4471" spans="1:12">
      <c r="A4471" s="183" t="s">
        <v>2960</v>
      </c>
      <c r="B4471" s="183" t="s">
        <v>1069</v>
      </c>
      <c r="C4471">
        <v>8806392047911</v>
      </c>
      <c r="D4471" s="501">
        <v>1081</v>
      </c>
      <c r="E4471">
        <v>0</v>
      </c>
      <c r="F4471">
        <v>0</v>
      </c>
      <c r="G4471">
        <v>0</v>
      </c>
      <c r="H4471" s="501">
        <v>1081</v>
      </c>
      <c r="I4471" s="183" t="s">
        <v>1070</v>
      </c>
      <c r="J4471" s="183" t="s">
        <v>12067</v>
      </c>
      <c r="K4471">
        <v>0</v>
      </c>
      <c r="L4471" s="501">
        <v>1081</v>
      </c>
    </row>
    <row r="4472" spans="1:12">
      <c r="A4472" s="183" t="s">
        <v>773</v>
      </c>
      <c r="B4472" s="183" t="s">
        <v>993</v>
      </c>
      <c r="C4472">
        <v>8806392049663</v>
      </c>
      <c r="D4472" s="501">
        <v>2311</v>
      </c>
      <c r="E4472">
        <v>0</v>
      </c>
      <c r="F4472">
        <v>0</v>
      </c>
      <c r="G4472">
        <v>0</v>
      </c>
      <c r="H4472" s="501">
        <v>2311</v>
      </c>
      <c r="I4472" s="183" t="s">
        <v>994</v>
      </c>
      <c r="J4472" s="183" t="s">
        <v>12087</v>
      </c>
      <c r="K4472">
        <v>0</v>
      </c>
      <c r="L4472" s="501">
        <v>2311</v>
      </c>
    </row>
    <row r="4473" spans="1:12">
      <c r="A4473" s="183" t="s">
        <v>3812</v>
      </c>
      <c r="B4473" s="183" t="s">
        <v>3813</v>
      </c>
      <c r="C4473">
        <v>8800143693174</v>
      </c>
      <c r="D4473">
        <v>917</v>
      </c>
      <c r="E4473">
        <v>0</v>
      </c>
      <c r="F4473">
        <v>0</v>
      </c>
      <c r="G4473">
        <v>0</v>
      </c>
      <c r="H4473">
        <v>917</v>
      </c>
      <c r="I4473" s="183" t="s">
        <v>1023</v>
      </c>
      <c r="J4473" s="183" t="s">
        <v>12085</v>
      </c>
      <c r="K4473">
        <v>0</v>
      </c>
      <c r="L4473">
        <v>917</v>
      </c>
    </row>
    <row r="4474" spans="1:12">
      <c r="A4474" s="183" t="s">
        <v>3091</v>
      </c>
      <c r="B4474" s="183" t="s">
        <v>3092</v>
      </c>
      <c r="C4474">
        <v>8800143693297</v>
      </c>
      <c r="D4474" s="501">
        <v>2311</v>
      </c>
      <c r="E4474">
        <v>0</v>
      </c>
      <c r="F4474">
        <v>0</v>
      </c>
      <c r="G4474">
        <v>0</v>
      </c>
      <c r="H4474" s="501">
        <v>2311</v>
      </c>
      <c r="I4474" s="183" t="s">
        <v>1023</v>
      </c>
      <c r="J4474" s="183" t="s">
        <v>12095</v>
      </c>
      <c r="K4474">
        <v>0</v>
      </c>
      <c r="L4474" s="501">
        <v>2311</v>
      </c>
    </row>
    <row r="4475" spans="1:12">
      <c r="A4475" s="183" t="s">
        <v>677</v>
      </c>
      <c r="B4475" s="183" t="s">
        <v>1249</v>
      </c>
      <c r="C4475">
        <v>8800143693372</v>
      </c>
      <c r="D4475">
        <v>726</v>
      </c>
      <c r="E4475">
        <v>0</v>
      </c>
      <c r="F4475">
        <v>0</v>
      </c>
      <c r="G4475">
        <v>0</v>
      </c>
      <c r="H4475">
        <v>726</v>
      </c>
      <c r="I4475" s="183" t="s">
        <v>1023</v>
      </c>
      <c r="J4475" s="183" t="s">
        <v>12048</v>
      </c>
      <c r="K4475">
        <v>0</v>
      </c>
      <c r="L4475">
        <v>726</v>
      </c>
    </row>
    <row r="4476" spans="1:12">
      <c r="A4476" s="183" t="s">
        <v>3475</v>
      </c>
      <c r="B4476" s="183" t="s">
        <v>3442</v>
      </c>
      <c r="C4476">
        <v>8809986728500</v>
      </c>
      <c r="D4476" s="501">
        <v>1126</v>
      </c>
      <c r="E4476">
        <v>0</v>
      </c>
      <c r="F4476">
        <v>0</v>
      </c>
      <c r="G4476">
        <v>0</v>
      </c>
      <c r="H4476" s="501">
        <v>1126</v>
      </c>
      <c r="I4476" s="183" t="s">
        <v>3443</v>
      </c>
      <c r="J4476" s="183" t="s">
        <v>12091</v>
      </c>
      <c r="K4476">
        <v>0</v>
      </c>
      <c r="L4476" s="501">
        <v>1126</v>
      </c>
    </row>
    <row r="4477" spans="1:12">
      <c r="A4477" s="183" t="s">
        <v>5225</v>
      </c>
      <c r="B4477" s="183" t="s">
        <v>3447</v>
      </c>
      <c r="C4477">
        <v>8809986728548</v>
      </c>
      <c r="D4477">
        <v>233</v>
      </c>
      <c r="E4477">
        <v>0</v>
      </c>
      <c r="F4477">
        <v>0</v>
      </c>
      <c r="G4477">
        <v>0</v>
      </c>
      <c r="H4477">
        <v>233</v>
      </c>
      <c r="I4477" s="183" t="s">
        <v>3443</v>
      </c>
      <c r="J4477" s="183" t="s">
        <v>12093</v>
      </c>
      <c r="K4477">
        <v>0</v>
      </c>
      <c r="L4477">
        <v>233</v>
      </c>
    </row>
    <row r="4478" spans="1:12">
      <c r="A4478" s="183" t="s">
        <v>3885</v>
      </c>
      <c r="B4478" s="183" t="s">
        <v>3880</v>
      </c>
      <c r="C4478">
        <v>8809986728647</v>
      </c>
      <c r="D4478">
        <v>315</v>
      </c>
      <c r="E4478">
        <v>0</v>
      </c>
      <c r="F4478">
        <v>0</v>
      </c>
      <c r="G4478">
        <v>0</v>
      </c>
      <c r="H4478">
        <v>315</v>
      </c>
      <c r="I4478" s="183" t="s">
        <v>3878</v>
      </c>
      <c r="J4478" s="183" t="s">
        <v>12091</v>
      </c>
      <c r="K4478">
        <v>0</v>
      </c>
      <c r="L4478">
        <v>315</v>
      </c>
    </row>
    <row r="4479" spans="1:12">
      <c r="A4479" s="183" t="s">
        <v>6837</v>
      </c>
      <c r="B4479" s="183" t="s">
        <v>3921</v>
      </c>
      <c r="C4479">
        <v>8809986728906</v>
      </c>
      <c r="D4479">
        <v>87</v>
      </c>
      <c r="E4479">
        <v>0</v>
      </c>
      <c r="F4479">
        <v>0</v>
      </c>
      <c r="G4479">
        <v>0</v>
      </c>
      <c r="H4479">
        <v>87</v>
      </c>
      <c r="I4479" s="183" t="s">
        <v>3878</v>
      </c>
      <c r="J4479" s="183" t="s">
        <v>12092</v>
      </c>
      <c r="K4479">
        <v>0</v>
      </c>
      <c r="L4479">
        <v>87</v>
      </c>
    </row>
    <row r="4480" spans="1:12">
      <c r="A4480" s="183" t="s">
        <v>3599</v>
      </c>
      <c r="B4480" s="183" t="s">
        <v>3576</v>
      </c>
      <c r="C4480">
        <v>8800245474190</v>
      </c>
      <c r="D4480">
        <v>477</v>
      </c>
      <c r="E4480">
        <v>0</v>
      </c>
      <c r="F4480">
        <v>0</v>
      </c>
      <c r="G4480">
        <v>0</v>
      </c>
      <c r="H4480">
        <v>477</v>
      </c>
      <c r="I4480" s="183" t="s">
        <v>3577</v>
      </c>
      <c r="J4480" s="183" t="s">
        <v>12092</v>
      </c>
      <c r="K4480">
        <v>0</v>
      </c>
      <c r="L4480">
        <v>477</v>
      </c>
    </row>
    <row r="4481" spans="1:12">
      <c r="A4481" s="183" t="s">
        <v>3619</v>
      </c>
      <c r="B4481" s="183" t="s">
        <v>3576</v>
      </c>
      <c r="C4481">
        <v>8800245474282</v>
      </c>
      <c r="D4481" s="501">
        <v>1058</v>
      </c>
      <c r="E4481">
        <v>0</v>
      </c>
      <c r="F4481">
        <v>0</v>
      </c>
      <c r="G4481">
        <v>0</v>
      </c>
      <c r="H4481" s="501">
        <v>1058</v>
      </c>
      <c r="I4481" s="183" t="s">
        <v>3577</v>
      </c>
      <c r="J4481" s="183" t="s">
        <v>12093</v>
      </c>
      <c r="K4481">
        <v>0</v>
      </c>
      <c r="L4481" s="501">
        <v>1058</v>
      </c>
    </row>
    <row r="4482" spans="1:12">
      <c r="A4482" s="183" t="s">
        <v>3652</v>
      </c>
      <c r="B4482" s="183" t="s">
        <v>3576</v>
      </c>
      <c r="C4482">
        <v>8800245474299</v>
      </c>
      <c r="D4482" s="501">
        <v>1332</v>
      </c>
      <c r="E4482">
        <v>0</v>
      </c>
      <c r="F4482">
        <v>0</v>
      </c>
      <c r="G4482">
        <v>0</v>
      </c>
      <c r="H4482" s="501">
        <v>1332</v>
      </c>
      <c r="I4482" s="183" t="s">
        <v>3577</v>
      </c>
      <c r="J4482" s="183" t="s">
        <v>12092</v>
      </c>
      <c r="K4482">
        <v>0</v>
      </c>
      <c r="L4482" s="501">
        <v>1332</v>
      </c>
    </row>
    <row r="4483" spans="1:12">
      <c r="A4483" s="183" t="s">
        <v>3613</v>
      </c>
      <c r="B4483" s="183" t="s">
        <v>3576</v>
      </c>
      <c r="C4483">
        <v>8800245474381</v>
      </c>
      <c r="D4483">
        <v>518</v>
      </c>
      <c r="E4483">
        <v>0</v>
      </c>
      <c r="F4483">
        <v>0</v>
      </c>
      <c r="G4483">
        <v>0</v>
      </c>
      <c r="H4483">
        <v>518</v>
      </c>
      <c r="I4483" s="183" t="s">
        <v>3577</v>
      </c>
      <c r="J4483" s="183" t="s">
        <v>12053</v>
      </c>
      <c r="K4483">
        <v>0</v>
      </c>
      <c r="L4483">
        <v>518</v>
      </c>
    </row>
    <row r="4484" spans="1:12">
      <c r="A4484" s="183" t="s">
        <v>4352</v>
      </c>
      <c r="B4484" s="183" t="s">
        <v>3576</v>
      </c>
      <c r="C4484">
        <v>8800245474480</v>
      </c>
      <c r="D4484">
        <v>469</v>
      </c>
      <c r="E4484">
        <v>0</v>
      </c>
      <c r="F4484">
        <v>0</v>
      </c>
      <c r="G4484">
        <v>0</v>
      </c>
      <c r="H4484">
        <v>469</v>
      </c>
      <c r="I4484" s="183" t="s">
        <v>3577</v>
      </c>
      <c r="J4484" s="183" t="s">
        <v>12092</v>
      </c>
      <c r="K4484">
        <v>0</v>
      </c>
      <c r="L4484">
        <v>469</v>
      </c>
    </row>
    <row r="4485" spans="1:12">
      <c r="A4485" s="183" t="s">
        <v>3604</v>
      </c>
      <c r="B4485" s="183" t="s">
        <v>3576</v>
      </c>
      <c r="C4485">
        <v>8800245474534</v>
      </c>
      <c r="D4485">
        <v>941</v>
      </c>
      <c r="E4485">
        <v>0</v>
      </c>
      <c r="F4485">
        <v>0</v>
      </c>
      <c r="G4485">
        <v>0</v>
      </c>
      <c r="H4485">
        <v>941</v>
      </c>
      <c r="I4485" s="183" t="s">
        <v>3577</v>
      </c>
      <c r="J4485" s="183" t="s">
        <v>12053</v>
      </c>
      <c r="K4485">
        <v>0</v>
      </c>
      <c r="L4485">
        <v>941</v>
      </c>
    </row>
    <row r="4486" spans="1:12">
      <c r="A4486" s="183" t="s">
        <v>3589</v>
      </c>
      <c r="B4486" s="183" t="s">
        <v>3576</v>
      </c>
      <c r="C4486">
        <v>8800245474619</v>
      </c>
      <c r="D4486" s="501">
        <v>1358</v>
      </c>
      <c r="E4486">
        <v>0</v>
      </c>
      <c r="F4486">
        <v>0</v>
      </c>
      <c r="G4486">
        <v>0</v>
      </c>
      <c r="H4486" s="501">
        <v>1358</v>
      </c>
      <c r="I4486" s="183" t="s">
        <v>3577</v>
      </c>
      <c r="J4486" s="183" t="s">
        <v>12060</v>
      </c>
      <c r="K4486">
        <v>0</v>
      </c>
      <c r="L4486" s="501">
        <v>1358</v>
      </c>
    </row>
    <row r="4487" spans="1:12">
      <c r="A4487" s="183" t="s">
        <v>3590</v>
      </c>
      <c r="B4487" s="183" t="s">
        <v>3576</v>
      </c>
      <c r="C4487">
        <v>8800245474640</v>
      </c>
      <c r="D4487" s="501">
        <v>1157</v>
      </c>
      <c r="E4487">
        <v>0</v>
      </c>
      <c r="F4487">
        <v>0</v>
      </c>
      <c r="G4487">
        <v>0</v>
      </c>
      <c r="H4487" s="501">
        <v>1157</v>
      </c>
      <c r="I4487" s="183" t="s">
        <v>3577</v>
      </c>
      <c r="J4487" s="183" t="s">
        <v>12060</v>
      </c>
      <c r="K4487">
        <v>0</v>
      </c>
      <c r="L4487" s="501">
        <v>1157</v>
      </c>
    </row>
    <row r="4488" spans="1:12">
      <c r="A4488" s="183" t="s">
        <v>3821</v>
      </c>
      <c r="B4488" s="183" t="s">
        <v>3576</v>
      </c>
      <c r="C4488">
        <v>8800245474756</v>
      </c>
      <c r="D4488">
        <v>184</v>
      </c>
      <c r="E4488">
        <v>0</v>
      </c>
      <c r="F4488">
        <v>0</v>
      </c>
      <c r="G4488">
        <v>0</v>
      </c>
      <c r="H4488">
        <v>184</v>
      </c>
      <c r="I4488" s="183" t="s">
        <v>3577</v>
      </c>
      <c r="J4488" s="183" t="s">
        <v>12060</v>
      </c>
      <c r="K4488">
        <v>0</v>
      </c>
      <c r="L4488">
        <v>184</v>
      </c>
    </row>
    <row r="4489" spans="1:12">
      <c r="A4489" s="183" t="s">
        <v>3608</v>
      </c>
      <c r="B4489" s="183" t="s">
        <v>3574</v>
      </c>
      <c r="C4489">
        <v>8800245474923</v>
      </c>
      <c r="D4489">
        <v>289</v>
      </c>
      <c r="E4489">
        <v>0</v>
      </c>
      <c r="F4489">
        <v>0</v>
      </c>
      <c r="G4489">
        <v>0</v>
      </c>
      <c r="H4489">
        <v>289</v>
      </c>
      <c r="I4489" s="183" t="s">
        <v>3575</v>
      </c>
      <c r="J4489" s="183" t="s">
        <v>12087</v>
      </c>
      <c r="K4489">
        <v>0</v>
      </c>
      <c r="L4489">
        <v>289</v>
      </c>
    </row>
    <row r="4490" spans="1:12">
      <c r="A4490" s="183" t="s">
        <v>3627</v>
      </c>
      <c r="B4490" s="183" t="s">
        <v>3574</v>
      </c>
      <c r="C4490">
        <v>8800245475203</v>
      </c>
      <c r="D4490">
        <v>447</v>
      </c>
      <c r="E4490">
        <v>0</v>
      </c>
      <c r="F4490">
        <v>0</v>
      </c>
      <c r="G4490">
        <v>0</v>
      </c>
      <c r="H4490">
        <v>447</v>
      </c>
      <c r="I4490" s="183" t="s">
        <v>3575</v>
      </c>
      <c r="J4490" s="183" t="s">
        <v>12048</v>
      </c>
      <c r="K4490">
        <v>0</v>
      </c>
      <c r="L4490">
        <v>447</v>
      </c>
    </row>
    <row r="4491" spans="1:12">
      <c r="A4491" s="183" t="s">
        <v>3640</v>
      </c>
      <c r="B4491" s="183" t="s">
        <v>3574</v>
      </c>
      <c r="C4491">
        <v>8800245475241</v>
      </c>
      <c r="D4491">
        <v>965</v>
      </c>
      <c r="E4491">
        <v>0</v>
      </c>
      <c r="F4491">
        <v>0</v>
      </c>
      <c r="G4491">
        <v>0</v>
      </c>
      <c r="H4491">
        <v>965</v>
      </c>
      <c r="I4491" s="183" t="s">
        <v>3575</v>
      </c>
      <c r="J4491" s="183" t="s">
        <v>12087</v>
      </c>
      <c r="K4491">
        <v>0</v>
      </c>
      <c r="L4491">
        <v>965</v>
      </c>
    </row>
    <row r="4492" spans="1:12">
      <c r="A4492" s="183" t="s">
        <v>3600</v>
      </c>
      <c r="B4492" s="183" t="s">
        <v>3574</v>
      </c>
      <c r="C4492">
        <v>8800245475272</v>
      </c>
      <c r="D4492">
        <v>936</v>
      </c>
      <c r="E4492">
        <v>0</v>
      </c>
      <c r="F4492">
        <v>2</v>
      </c>
      <c r="G4492">
        <v>0</v>
      </c>
      <c r="H4492">
        <v>938</v>
      </c>
      <c r="I4492" s="183" t="s">
        <v>3575</v>
      </c>
      <c r="J4492" s="183" t="s">
        <v>12094</v>
      </c>
      <c r="K4492">
        <v>0</v>
      </c>
      <c r="L4492">
        <v>936</v>
      </c>
    </row>
    <row r="4493" spans="1:12">
      <c r="A4493" s="183" t="s">
        <v>3602</v>
      </c>
      <c r="B4493" s="183" t="s">
        <v>3574</v>
      </c>
      <c r="C4493">
        <v>8800245475333</v>
      </c>
      <c r="D4493">
        <v>911</v>
      </c>
      <c r="E4493">
        <v>0</v>
      </c>
      <c r="F4493">
        <v>0</v>
      </c>
      <c r="G4493">
        <v>0</v>
      </c>
      <c r="H4493">
        <v>911</v>
      </c>
      <c r="I4493" s="183" t="s">
        <v>3575</v>
      </c>
      <c r="J4493" s="183" t="s">
        <v>12067</v>
      </c>
      <c r="K4493">
        <v>0</v>
      </c>
      <c r="L4493">
        <v>911</v>
      </c>
    </row>
    <row r="4494" spans="1:12">
      <c r="A4494" s="183" t="s">
        <v>3603</v>
      </c>
      <c r="B4494" s="183" t="s">
        <v>3574</v>
      </c>
      <c r="C4494">
        <v>8800245475388</v>
      </c>
      <c r="D4494">
        <v>202</v>
      </c>
      <c r="E4494">
        <v>0</v>
      </c>
      <c r="F4494">
        <v>0</v>
      </c>
      <c r="G4494">
        <v>0</v>
      </c>
      <c r="H4494">
        <v>202</v>
      </c>
      <c r="I4494" s="183" t="s">
        <v>3575</v>
      </c>
      <c r="J4494" s="183" t="s">
        <v>12067</v>
      </c>
      <c r="K4494">
        <v>0</v>
      </c>
      <c r="L4494">
        <v>202</v>
      </c>
    </row>
    <row r="4495" spans="1:12">
      <c r="A4495" s="183" t="s">
        <v>3614</v>
      </c>
      <c r="B4495" s="183" t="s">
        <v>3574</v>
      </c>
      <c r="C4495">
        <v>8800245475418</v>
      </c>
      <c r="D4495">
        <v>41</v>
      </c>
      <c r="E4495">
        <v>0</v>
      </c>
      <c r="F4495">
        <v>0</v>
      </c>
      <c r="G4495">
        <v>0</v>
      </c>
      <c r="H4495">
        <v>41</v>
      </c>
      <c r="I4495" s="183" t="s">
        <v>3575</v>
      </c>
      <c r="J4495" s="183" t="s">
        <v>12067</v>
      </c>
      <c r="K4495">
        <v>0</v>
      </c>
      <c r="L4495">
        <v>41</v>
      </c>
    </row>
    <row r="4496" spans="1:12">
      <c r="A4496" s="183" t="s">
        <v>2667</v>
      </c>
      <c r="B4496" s="183" t="s">
        <v>1442</v>
      </c>
      <c r="C4496">
        <v>30670207</v>
      </c>
      <c r="D4496">
        <v>23</v>
      </c>
      <c r="E4496">
        <v>0</v>
      </c>
      <c r="F4496">
        <v>0</v>
      </c>
      <c r="G4496">
        <v>0</v>
      </c>
      <c r="H4496">
        <v>23</v>
      </c>
      <c r="I4496" s="183" t="s">
        <v>1443</v>
      </c>
      <c r="J4496" s="183" t="s">
        <v>12085</v>
      </c>
      <c r="K4496">
        <v>0</v>
      </c>
      <c r="L4496">
        <v>23</v>
      </c>
    </row>
    <row r="4497" spans="1:12">
      <c r="A4497" s="183" t="s">
        <v>2280</v>
      </c>
      <c r="B4497" s="183" t="s">
        <v>1330</v>
      </c>
      <c r="C4497">
        <v>15550202</v>
      </c>
      <c r="D4497">
        <v>134</v>
      </c>
      <c r="E4497">
        <v>0</v>
      </c>
      <c r="F4497">
        <v>0</v>
      </c>
      <c r="G4497">
        <v>0</v>
      </c>
      <c r="H4497">
        <v>134</v>
      </c>
      <c r="I4497" s="183" t="s">
        <v>1331</v>
      </c>
      <c r="J4497" s="183" t="s">
        <v>12092</v>
      </c>
      <c r="K4497">
        <v>0</v>
      </c>
      <c r="L4497">
        <v>134</v>
      </c>
    </row>
    <row r="4498" spans="1:12">
      <c r="A4498" s="183" t="s">
        <v>1793</v>
      </c>
      <c r="B4498" s="183" t="s">
        <v>1330</v>
      </c>
      <c r="C4498">
        <v>15550206</v>
      </c>
      <c r="D4498">
        <v>45</v>
      </c>
      <c r="E4498">
        <v>0</v>
      </c>
      <c r="F4498">
        <v>0</v>
      </c>
      <c r="G4498">
        <v>0</v>
      </c>
      <c r="H4498">
        <v>45</v>
      </c>
      <c r="I4498" s="183" t="s">
        <v>1331</v>
      </c>
      <c r="J4498" s="183" t="s">
        <v>12053</v>
      </c>
      <c r="K4498">
        <v>0</v>
      </c>
      <c r="L4498">
        <v>45</v>
      </c>
    </row>
    <row r="4499" spans="1:12">
      <c r="A4499" s="183" t="s">
        <v>1396</v>
      </c>
      <c r="B4499" s="183" t="s">
        <v>1029</v>
      </c>
      <c r="C4499">
        <v>8806392046914</v>
      </c>
      <c r="D4499">
        <v>363</v>
      </c>
      <c r="E4499">
        <v>0</v>
      </c>
      <c r="F4499">
        <v>2</v>
      </c>
      <c r="G4499">
        <v>0</v>
      </c>
      <c r="H4499">
        <v>365</v>
      </c>
      <c r="I4499" s="183" t="s">
        <v>1030</v>
      </c>
      <c r="J4499" s="183" t="s">
        <v>12081</v>
      </c>
      <c r="K4499">
        <v>0</v>
      </c>
      <c r="L4499">
        <v>363</v>
      </c>
    </row>
    <row r="4500" spans="1:12">
      <c r="A4500" s="183" t="s">
        <v>1394</v>
      </c>
      <c r="B4500" s="183" t="s">
        <v>1029</v>
      </c>
      <c r="C4500">
        <v>8806392046983</v>
      </c>
      <c r="D4500">
        <v>606</v>
      </c>
      <c r="E4500">
        <v>0</v>
      </c>
      <c r="F4500">
        <v>0</v>
      </c>
      <c r="G4500">
        <v>0</v>
      </c>
      <c r="H4500">
        <v>606</v>
      </c>
      <c r="I4500" s="183" t="s">
        <v>1030</v>
      </c>
      <c r="J4500" s="183" t="s">
        <v>12094</v>
      </c>
      <c r="K4500">
        <v>0</v>
      </c>
      <c r="L4500">
        <v>606</v>
      </c>
    </row>
    <row r="4501" spans="1:12">
      <c r="A4501" s="183" t="s">
        <v>2367</v>
      </c>
      <c r="B4501" s="183" t="s">
        <v>1029</v>
      </c>
      <c r="C4501">
        <v>8806392047034</v>
      </c>
      <c r="D4501" s="501">
        <v>2228</v>
      </c>
      <c r="E4501">
        <v>0</v>
      </c>
      <c r="F4501">
        <v>0</v>
      </c>
      <c r="G4501">
        <v>0</v>
      </c>
      <c r="H4501" s="501">
        <v>2228</v>
      </c>
      <c r="I4501" s="183" t="s">
        <v>1030</v>
      </c>
      <c r="J4501" s="183" t="s">
        <v>12092</v>
      </c>
      <c r="K4501">
        <v>0</v>
      </c>
      <c r="L4501" s="501">
        <v>2228</v>
      </c>
    </row>
    <row r="4502" spans="1:12">
      <c r="A4502" s="183" t="s">
        <v>2721</v>
      </c>
      <c r="B4502" s="183" t="s">
        <v>1029</v>
      </c>
      <c r="C4502">
        <v>8806392047065</v>
      </c>
      <c r="D4502">
        <v>157</v>
      </c>
      <c r="E4502">
        <v>0</v>
      </c>
      <c r="F4502">
        <v>0</v>
      </c>
      <c r="G4502">
        <v>0</v>
      </c>
      <c r="H4502">
        <v>157</v>
      </c>
      <c r="I4502" s="183" t="s">
        <v>1030</v>
      </c>
      <c r="J4502" s="183" t="s">
        <v>12053</v>
      </c>
      <c r="K4502">
        <v>0</v>
      </c>
      <c r="L4502">
        <v>157</v>
      </c>
    </row>
    <row r="4503" spans="1:12">
      <c r="A4503" s="183" t="s">
        <v>3850</v>
      </c>
      <c r="B4503" s="183" t="s">
        <v>1026</v>
      </c>
      <c r="C4503">
        <v>8806392047089</v>
      </c>
      <c r="D4503">
        <v>597</v>
      </c>
      <c r="E4503">
        <v>0</v>
      </c>
      <c r="F4503">
        <v>0</v>
      </c>
      <c r="G4503">
        <v>0</v>
      </c>
      <c r="H4503">
        <v>597</v>
      </c>
      <c r="I4503" s="183" t="s">
        <v>1027</v>
      </c>
      <c r="J4503" s="183" t="s">
        <v>12094</v>
      </c>
      <c r="K4503">
        <v>0</v>
      </c>
      <c r="L4503">
        <v>597</v>
      </c>
    </row>
    <row r="4504" spans="1:12">
      <c r="A4504" s="183" t="s">
        <v>3780</v>
      </c>
      <c r="B4504" s="183" t="s">
        <v>1026</v>
      </c>
      <c r="C4504">
        <v>8806392047140</v>
      </c>
      <c r="D4504">
        <v>288</v>
      </c>
      <c r="E4504">
        <v>0</v>
      </c>
      <c r="F4504">
        <v>0</v>
      </c>
      <c r="G4504">
        <v>0</v>
      </c>
      <c r="H4504">
        <v>288</v>
      </c>
      <c r="I4504" s="183" t="s">
        <v>1027</v>
      </c>
      <c r="J4504" s="183" t="s">
        <v>12092</v>
      </c>
      <c r="K4504">
        <v>0</v>
      </c>
      <c r="L4504">
        <v>288</v>
      </c>
    </row>
    <row r="4505" spans="1:12">
      <c r="A4505" s="183" t="s">
        <v>635</v>
      </c>
      <c r="B4505" s="183" t="s">
        <v>1026</v>
      </c>
      <c r="C4505">
        <v>8806392047164</v>
      </c>
      <c r="D4505">
        <v>253</v>
      </c>
      <c r="E4505">
        <v>0</v>
      </c>
      <c r="F4505">
        <v>0</v>
      </c>
      <c r="G4505">
        <v>0</v>
      </c>
      <c r="H4505">
        <v>253</v>
      </c>
      <c r="I4505" s="183" t="s">
        <v>1027</v>
      </c>
      <c r="J4505" s="183" t="s">
        <v>12067</v>
      </c>
      <c r="K4505">
        <v>0</v>
      </c>
      <c r="L4505">
        <v>253</v>
      </c>
    </row>
    <row r="4506" spans="1:12">
      <c r="A4506" s="183" t="s">
        <v>3172</v>
      </c>
      <c r="B4506" s="183" t="s">
        <v>1026</v>
      </c>
      <c r="C4506">
        <v>8806392047195</v>
      </c>
      <c r="D4506">
        <v>488</v>
      </c>
      <c r="E4506">
        <v>0</v>
      </c>
      <c r="F4506">
        <v>0</v>
      </c>
      <c r="G4506">
        <v>0</v>
      </c>
      <c r="H4506">
        <v>488</v>
      </c>
      <c r="I4506" s="183" t="s">
        <v>1027</v>
      </c>
      <c r="J4506" s="183" t="s">
        <v>12093</v>
      </c>
      <c r="K4506">
        <v>0</v>
      </c>
      <c r="L4506">
        <v>488</v>
      </c>
    </row>
    <row r="4507" spans="1:12">
      <c r="A4507" s="183" t="s">
        <v>3782</v>
      </c>
      <c r="B4507" s="183" t="s">
        <v>1026</v>
      </c>
      <c r="C4507">
        <v>8806392047294</v>
      </c>
      <c r="D4507">
        <v>627</v>
      </c>
      <c r="E4507">
        <v>0</v>
      </c>
      <c r="F4507">
        <v>1</v>
      </c>
      <c r="G4507">
        <v>0</v>
      </c>
      <c r="H4507">
        <v>628</v>
      </c>
      <c r="I4507" s="183" t="s">
        <v>1027</v>
      </c>
      <c r="J4507" s="183" t="s">
        <v>12091</v>
      </c>
      <c r="K4507">
        <v>0</v>
      </c>
      <c r="L4507">
        <v>627</v>
      </c>
    </row>
    <row r="4508" spans="1:12">
      <c r="A4508" s="183" t="s">
        <v>2059</v>
      </c>
      <c r="B4508" s="183" t="s">
        <v>1455</v>
      </c>
      <c r="C4508">
        <v>8809867707754</v>
      </c>
      <c r="D4508">
        <v>756</v>
      </c>
      <c r="E4508">
        <v>0</v>
      </c>
      <c r="F4508">
        <v>0</v>
      </c>
      <c r="G4508">
        <v>0</v>
      </c>
      <c r="H4508">
        <v>756</v>
      </c>
      <c r="I4508" s="183" t="s">
        <v>1456</v>
      </c>
      <c r="J4508" s="183" t="s">
        <v>12094</v>
      </c>
      <c r="K4508">
        <v>0</v>
      </c>
      <c r="L4508">
        <v>756</v>
      </c>
    </row>
    <row r="4509" spans="1:12">
      <c r="A4509" s="183" t="s">
        <v>2066</v>
      </c>
      <c r="B4509" s="183" t="s">
        <v>1455</v>
      </c>
      <c r="C4509">
        <v>8809867707792</v>
      </c>
      <c r="D4509">
        <v>600</v>
      </c>
      <c r="E4509">
        <v>0</v>
      </c>
      <c r="F4509">
        <v>0</v>
      </c>
      <c r="G4509">
        <v>0</v>
      </c>
      <c r="H4509">
        <v>600</v>
      </c>
      <c r="I4509" s="183" t="s">
        <v>1456</v>
      </c>
      <c r="J4509" s="183" t="s">
        <v>12048</v>
      </c>
      <c r="K4509">
        <v>0</v>
      </c>
      <c r="L4509">
        <v>600</v>
      </c>
    </row>
    <row r="4510" spans="1:12">
      <c r="A4510" s="183" t="s">
        <v>645</v>
      </c>
      <c r="B4510" s="183" t="s">
        <v>1069</v>
      </c>
      <c r="C4510">
        <v>8806392047713</v>
      </c>
      <c r="D4510" s="501">
        <v>1446</v>
      </c>
      <c r="E4510">
        <v>0</v>
      </c>
      <c r="F4510">
        <v>0</v>
      </c>
      <c r="G4510">
        <v>0</v>
      </c>
      <c r="H4510" s="501">
        <v>1446</v>
      </c>
      <c r="I4510" s="183" t="s">
        <v>1070</v>
      </c>
      <c r="J4510" s="183" t="s">
        <v>12048</v>
      </c>
      <c r="K4510">
        <v>0</v>
      </c>
      <c r="L4510" s="501">
        <v>1446</v>
      </c>
    </row>
    <row r="4511" spans="1:12">
      <c r="A4511" s="183" t="s">
        <v>646</v>
      </c>
      <c r="B4511" s="183" t="s">
        <v>1069</v>
      </c>
      <c r="C4511">
        <v>8806392047720</v>
      </c>
      <c r="D4511" s="501">
        <v>1915</v>
      </c>
      <c r="E4511">
        <v>0</v>
      </c>
      <c r="F4511">
        <v>0</v>
      </c>
      <c r="G4511">
        <v>0</v>
      </c>
      <c r="H4511" s="501">
        <v>1915</v>
      </c>
      <c r="I4511" s="183" t="s">
        <v>1070</v>
      </c>
      <c r="J4511" s="183" t="s">
        <v>12091</v>
      </c>
      <c r="K4511">
        <v>0</v>
      </c>
      <c r="L4511" s="501">
        <v>1915</v>
      </c>
    </row>
    <row r="4512" spans="1:12">
      <c r="A4512" s="183" t="s">
        <v>651</v>
      </c>
      <c r="B4512" s="183" t="s">
        <v>1069</v>
      </c>
      <c r="C4512">
        <v>8806392047850</v>
      </c>
      <c r="D4512">
        <v>915</v>
      </c>
      <c r="E4512">
        <v>0</v>
      </c>
      <c r="F4512">
        <v>0</v>
      </c>
      <c r="G4512">
        <v>0</v>
      </c>
      <c r="H4512">
        <v>915</v>
      </c>
      <c r="I4512" s="183" t="s">
        <v>1070</v>
      </c>
      <c r="J4512" s="183" t="s">
        <v>12095</v>
      </c>
      <c r="K4512">
        <v>0</v>
      </c>
      <c r="L4512">
        <v>915</v>
      </c>
    </row>
    <row r="4513" spans="1:12">
      <c r="A4513" s="183" t="s">
        <v>654</v>
      </c>
      <c r="B4513" s="183" t="s">
        <v>1069</v>
      </c>
      <c r="C4513">
        <v>8806392047881</v>
      </c>
      <c r="D4513" s="501">
        <v>1458</v>
      </c>
      <c r="E4513">
        <v>0</v>
      </c>
      <c r="F4513">
        <v>0</v>
      </c>
      <c r="G4513">
        <v>0</v>
      </c>
      <c r="H4513" s="501">
        <v>1458</v>
      </c>
      <c r="I4513" s="183" t="s">
        <v>1070</v>
      </c>
      <c r="J4513" s="183" t="s">
        <v>12092</v>
      </c>
      <c r="K4513">
        <v>0</v>
      </c>
      <c r="L4513" s="501">
        <v>1458</v>
      </c>
    </row>
    <row r="4514" spans="1:12">
      <c r="A4514" s="183" t="s">
        <v>6261</v>
      </c>
      <c r="B4514" s="183" t="s">
        <v>993</v>
      </c>
      <c r="C4514">
        <v>8806392049649</v>
      </c>
      <c r="D4514">
        <v>931</v>
      </c>
      <c r="E4514">
        <v>0</v>
      </c>
      <c r="F4514">
        <v>2</v>
      </c>
      <c r="G4514">
        <v>0</v>
      </c>
      <c r="H4514">
        <v>933</v>
      </c>
      <c r="I4514" s="183" t="s">
        <v>994</v>
      </c>
      <c r="J4514" s="183" t="s">
        <v>12094</v>
      </c>
      <c r="K4514">
        <v>0</v>
      </c>
      <c r="L4514">
        <v>931</v>
      </c>
    </row>
    <row r="4515" spans="1:12">
      <c r="A4515" s="183" t="s">
        <v>774</v>
      </c>
      <c r="B4515" s="183" t="s">
        <v>993</v>
      </c>
      <c r="C4515">
        <v>8806392049656</v>
      </c>
      <c r="D4515" s="501">
        <v>1949</v>
      </c>
      <c r="E4515">
        <v>0</v>
      </c>
      <c r="F4515">
        <v>0</v>
      </c>
      <c r="G4515">
        <v>0</v>
      </c>
      <c r="H4515" s="501">
        <v>1949</v>
      </c>
      <c r="I4515" s="183" t="s">
        <v>994</v>
      </c>
      <c r="J4515" s="183" t="s">
        <v>12094</v>
      </c>
      <c r="K4515">
        <v>0</v>
      </c>
      <c r="L4515" s="501">
        <v>1949</v>
      </c>
    </row>
    <row r="4516" spans="1:12">
      <c r="A4516" s="183" t="s">
        <v>2944</v>
      </c>
      <c r="B4516" s="183" t="s">
        <v>993</v>
      </c>
      <c r="C4516">
        <v>8806392049694</v>
      </c>
      <c r="D4516">
        <v>669</v>
      </c>
      <c r="E4516">
        <v>0</v>
      </c>
      <c r="F4516">
        <v>0</v>
      </c>
      <c r="G4516">
        <v>0</v>
      </c>
      <c r="H4516">
        <v>669</v>
      </c>
      <c r="I4516" s="183" t="s">
        <v>994</v>
      </c>
      <c r="J4516" s="183" t="s">
        <v>12081</v>
      </c>
      <c r="K4516">
        <v>0</v>
      </c>
      <c r="L4516">
        <v>669</v>
      </c>
    </row>
    <row r="4517" spans="1:12">
      <c r="A4517" s="183" t="s">
        <v>2987</v>
      </c>
      <c r="B4517" s="183" t="s">
        <v>993</v>
      </c>
      <c r="C4517">
        <v>8806392049809</v>
      </c>
      <c r="D4517" s="501">
        <v>1016</v>
      </c>
      <c r="E4517">
        <v>0</v>
      </c>
      <c r="F4517">
        <v>1</v>
      </c>
      <c r="G4517">
        <v>0</v>
      </c>
      <c r="H4517" s="501">
        <v>1017</v>
      </c>
      <c r="I4517" s="183" t="s">
        <v>994</v>
      </c>
      <c r="J4517" s="183" t="s">
        <v>12067</v>
      </c>
      <c r="K4517">
        <v>0</v>
      </c>
      <c r="L4517" s="501">
        <v>1016</v>
      </c>
    </row>
    <row r="4518" spans="1:12">
      <c r="A4518" s="183" t="s">
        <v>775</v>
      </c>
      <c r="B4518" s="183" t="s">
        <v>993</v>
      </c>
      <c r="C4518">
        <v>8806392049854</v>
      </c>
      <c r="D4518" s="501">
        <v>1212</v>
      </c>
      <c r="E4518">
        <v>0</v>
      </c>
      <c r="F4518">
        <v>0</v>
      </c>
      <c r="G4518">
        <v>0</v>
      </c>
      <c r="H4518" s="501">
        <v>1212</v>
      </c>
      <c r="I4518" s="183" t="s">
        <v>994</v>
      </c>
      <c r="J4518" s="183" t="s">
        <v>12081</v>
      </c>
      <c r="K4518">
        <v>0</v>
      </c>
      <c r="L4518" s="501">
        <v>1212</v>
      </c>
    </row>
    <row r="4519" spans="1:12">
      <c r="A4519" s="183" t="s">
        <v>776</v>
      </c>
      <c r="B4519" s="183" t="s">
        <v>993</v>
      </c>
      <c r="C4519">
        <v>8806392049885</v>
      </c>
      <c r="D4519" s="501">
        <v>2639</v>
      </c>
      <c r="E4519">
        <v>0</v>
      </c>
      <c r="F4519">
        <v>0</v>
      </c>
      <c r="G4519">
        <v>0</v>
      </c>
      <c r="H4519" s="501">
        <v>2639</v>
      </c>
      <c r="I4519" s="183" t="s">
        <v>994</v>
      </c>
      <c r="J4519" s="183" t="s">
        <v>12091</v>
      </c>
      <c r="K4519">
        <v>0</v>
      </c>
      <c r="L4519" s="501">
        <v>2639</v>
      </c>
    </row>
    <row r="4520" spans="1:12">
      <c r="A4520" s="183" t="s">
        <v>777</v>
      </c>
      <c r="B4520" s="183" t="s">
        <v>993</v>
      </c>
      <c r="C4520">
        <v>8806392049915</v>
      </c>
      <c r="D4520" s="501">
        <v>2268</v>
      </c>
      <c r="E4520">
        <v>0</v>
      </c>
      <c r="F4520">
        <v>0</v>
      </c>
      <c r="G4520">
        <v>0</v>
      </c>
      <c r="H4520" s="501">
        <v>2268</v>
      </c>
      <c r="I4520" s="183" t="s">
        <v>994</v>
      </c>
      <c r="J4520" s="183" t="s">
        <v>12081</v>
      </c>
      <c r="K4520">
        <v>0</v>
      </c>
      <c r="L4520" s="501">
        <v>2268</v>
      </c>
    </row>
    <row r="4521" spans="1:12">
      <c r="A4521" s="183" t="s">
        <v>778</v>
      </c>
      <c r="B4521" s="183" t="s">
        <v>993</v>
      </c>
      <c r="C4521">
        <v>8806392049939</v>
      </c>
      <c r="D4521">
        <v>351</v>
      </c>
      <c r="E4521">
        <v>0</v>
      </c>
      <c r="F4521">
        <v>0</v>
      </c>
      <c r="G4521">
        <v>0</v>
      </c>
      <c r="H4521">
        <v>351</v>
      </c>
      <c r="I4521" s="183" t="s">
        <v>994</v>
      </c>
      <c r="J4521" s="183" t="s">
        <v>12092</v>
      </c>
      <c r="K4521">
        <v>0</v>
      </c>
      <c r="L4521">
        <v>351</v>
      </c>
    </row>
    <row r="4522" spans="1:12">
      <c r="A4522" s="183" t="s">
        <v>663</v>
      </c>
      <c r="B4522" s="183" t="s">
        <v>1398</v>
      </c>
      <c r="C4522">
        <v>8800143693099</v>
      </c>
      <c r="D4522" s="501">
        <v>4242</v>
      </c>
      <c r="E4522">
        <v>0</v>
      </c>
      <c r="F4522">
        <v>0</v>
      </c>
      <c r="G4522">
        <v>0</v>
      </c>
      <c r="H4522" s="501">
        <v>4242</v>
      </c>
      <c r="I4522" s="183" t="s">
        <v>1023</v>
      </c>
      <c r="J4522" s="183" t="s">
        <v>12066</v>
      </c>
      <c r="K4522">
        <v>0</v>
      </c>
      <c r="L4522" s="501">
        <v>4242</v>
      </c>
    </row>
    <row r="4523" spans="1:12">
      <c r="A4523" s="183" t="s">
        <v>664</v>
      </c>
      <c r="B4523" s="183" t="s">
        <v>1147</v>
      </c>
      <c r="C4523">
        <v>8800143693105</v>
      </c>
      <c r="D4523" s="501">
        <v>5412</v>
      </c>
      <c r="E4523">
        <v>0</v>
      </c>
      <c r="F4523">
        <v>0</v>
      </c>
      <c r="G4523">
        <v>0</v>
      </c>
      <c r="H4523" s="501">
        <v>5412</v>
      </c>
      <c r="I4523" s="183" t="s">
        <v>1023</v>
      </c>
      <c r="J4523" s="183" t="s">
        <v>12063</v>
      </c>
      <c r="K4523">
        <v>0</v>
      </c>
      <c r="L4523" s="501">
        <v>5412</v>
      </c>
    </row>
    <row r="4524" spans="1:12">
      <c r="A4524" s="183" t="s">
        <v>665</v>
      </c>
      <c r="B4524" s="183" t="s">
        <v>1291</v>
      </c>
      <c r="C4524">
        <v>8800143693112</v>
      </c>
      <c r="D4524" s="501">
        <v>2025</v>
      </c>
      <c r="E4524">
        <v>0</v>
      </c>
      <c r="F4524">
        <v>0</v>
      </c>
      <c r="G4524">
        <v>0</v>
      </c>
      <c r="H4524" s="501">
        <v>2025</v>
      </c>
      <c r="I4524" s="183" t="s">
        <v>1023</v>
      </c>
      <c r="J4524" s="183" t="s">
        <v>12048</v>
      </c>
      <c r="K4524">
        <v>0</v>
      </c>
      <c r="L4524" s="501">
        <v>2025</v>
      </c>
    </row>
    <row r="4525" spans="1:12">
      <c r="A4525" s="183" t="s">
        <v>3086</v>
      </c>
      <c r="B4525" s="183" t="s">
        <v>3087</v>
      </c>
      <c r="C4525">
        <v>8800143693143</v>
      </c>
      <c r="D4525" s="501">
        <v>1131</v>
      </c>
      <c r="E4525">
        <v>0</v>
      </c>
      <c r="F4525">
        <v>0</v>
      </c>
      <c r="G4525">
        <v>0</v>
      </c>
      <c r="H4525" s="501">
        <v>1131</v>
      </c>
      <c r="I4525" s="183" t="s">
        <v>1023</v>
      </c>
      <c r="J4525" s="183" t="s">
        <v>12095</v>
      </c>
      <c r="K4525">
        <v>0</v>
      </c>
      <c r="L4525" s="501">
        <v>1131</v>
      </c>
    </row>
    <row r="4526" spans="1:12">
      <c r="A4526" s="183" t="s">
        <v>669</v>
      </c>
      <c r="B4526" s="183" t="s">
        <v>1022</v>
      </c>
      <c r="C4526">
        <v>8800143693228</v>
      </c>
      <c r="D4526" s="501">
        <v>1810</v>
      </c>
      <c r="E4526">
        <v>0</v>
      </c>
      <c r="F4526">
        <v>0</v>
      </c>
      <c r="G4526">
        <v>0</v>
      </c>
      <c r="H4526" s="501">
        <v>1810</v>
      </c>
      <c r="I4526" s="183" t="s">
        <v>1023</v>
      </c>
      <c r="J4526" s="183" t="s">
        <v>12087</v>
      </c>
      <c r="K4526">
        <v>0</v>
      </c>
      <c r="L4526" s="501">
        <v>1810</v>
      </c>
    </row>
    <row r="4527" spans="1:12">
      <c r="A4527" s="183" t="s">
        <v>3189</v>
      </c>
      <c r="B4527" s="183" t="s">
        <v>3190</v>
      </c>
      <c r="C4527">
        <v>8800143693235</v>
      </c>
      <c r="D4527" s="501">
        <v>1427</v>
      </c>
      <c r="E4527">
        <v>0</v>
      </c>
      <c r="F4527">
        <v>0</v>
      </c>
      <c r="G4527">
        <v>0</v>
      </c>
      <c r="H4527" s="501">
        <v>1427</v>
      </c>
      <c r="I4527" s="183" t="s">
        <v>1023</v>
      </c>
      <c r="J4527" s="183" t="s">
        <v>12063</v>
      </c>
      <c r="K4527">
        <v>0</v>
      </c>
      <c r="L4527" s="501">
        <v>1427</v>
      </c>
    </row>
    <row r="4528" spans="1:12">
      <c r="A4528" s="183" t="s">
        <v>675</v>
      </c>
      <c r="B4528" s="183" t="s">
        <v>1024</v>
      </c>
      <c r="C4528">
        <v>8800143693358</v>
      </c>
      <c r="D4528" s="501">
        <v>1989</v>
      </c>
      <c r="E4528">
        <v>0</v>
      </c>
      <c r="F4528">
        <v>0</v>
      </c>
      <c r="G4528">
        <v>0</v>
      </c>
      <c r="H4528" s="501">
        <v>1989</v>
      </c>
      <c r="I4528" s="183" t="s">
        <v>1023</v>
      </c>
      <c r="J4528" s="183" t="s">
        <v>12066</v>
      </c>
      <c r="K4528">
        <v>0</v>
      </c>
      <c r="L4528" s="501">
        <v>1989</v>
      </c>
    </row>
    <row r="4529" spans="1:12">
      <c r="A4529" s="183" t="s">
        <v>3452</v>
      </c>
      <c r="B4529" s="183" t="s">
        <v>3453</v>
      </c>
      <c r="C4529">
        <v>8809986728487</v>
      </c>
      <c r="D4529">
        <v>512</v>
      </c>
      <c r="E4529">
        <v>0</v>
      </c>
      <c r="F4529">
        <v>0</v>
      </c>
      <c r="G4529">
        <v>0</v>
      </c>
      <c r="H4529">
        <v>512</v>
      </c>
      <c r="I4529" s="183" t="s">
        <v>3443</v>
      </c>
      <c r="J4529" s="183" t="s">
        <v>12092</v>
      </c>
      <c r="K4529">
        <v>0</v>
      </c>
      <c r="L4529">
        <v>512</v>
      </c>
    </row>
    <row r="4530" spans="1:12">
      <c r="A4530" s="183" t="s">
        <v>3460</v>
      </c>
      <c r="B4530" s="183" t="s">
        <v>3453</v>
      </c>
      <c r="C4530">
        <v>8809986728494</v>
      </c>
      <c r="D4530">
        <v>854</v>
      </c>
      <c r="E4530">
        <v>0</v>
      </c>
      <c r="F4530">
        <v>0</v>
      </c>
      <c r="G4530">
        <v>0</v>
      </c>
      <c r="H4530">
        <v>854</v>
      </c>
      <c r="I4530" s="183" t="s">
        <v>3443</v>
      </c>
      <c r="J4530" s="183" t="s">
        <v>12091</v>
      </c>
      <c r="K4530">
        <v>0</v>
      </c>
      <c r="L4530">
        <v>854</v>
      </c>
    </row>
    <row r="4531" spans="1:12">
      <c r="A4531" s="183" t="s">
        <v>3906</v>
      </c>
      <c r="B4531" s="183" t="s">
        <v>3889</v>
      </c>
      <c r="C4531">
        <v>8809986728746</v>
      </c>
      <c r="D4531">
        <v>346</v>
      </c>
      <c r="E4531">
        <v>0</v>
      </c>
      <c r="F4531">
        <v>0</v>
      </c>
      <c r="G4531">
        <v>0</v>
      </c>
      <c r="H4531">
        <v>346</v>
      </c>
      <c r="I4531" s="183" t="s">
        <v>3878</v>
      </c>
      <c r="J4531" s="183" t="s">
        <v>12081</v>
      </c>
      <c r="K4531">
        <v>0</v>
      </c>
      <c r="L4531">
        <v>346</v>
      </c>
    </row>
    <row r="4532" spans="1:12">
      <c r="A4532" s="183" t="s">
        <v>3923</v>
      </c>
      <c r="B4532" s="183" t="s">
        <v>3900</v>
      </c>
      <c r="C4532">
        <v>8809986728807</v>
      </c>
      <c r="D4532">
        <v>314</v>
      </c>
      <c r="E4532">
        <v>0</v>
      </c>
      <c r="F4532">
        <v>0</v>
      </c>
      <c r="G4532">
        <v>0</v>
      </c>
      <c r="H4532">
        <v>314</v>
      </c>
      <c r="I4532" s="183" t="s">
        <v>3878</v>
      </c>
      <c r="J4532" s="183" t="s">
        <v>12081</v>
      </c>
      <c r="K4532">
        <v>0</v>
      </c>
      <c r="L4532">
        <v>314</v>
      </c>
    </row>
    <row r="4533" spans="1:12">
      <c r="A4533" s="183" t="s">
        <v>3624</v>
      </c>
      <c r="B4533" s="183" t="s">
        <v>3576</v>
      </c>
      <c r="C4533">
        <v>8800245474312</v>
      </c>
      <c r="D4533" s="501">
        <v>1180</v>
      </c>
      <c r="E4533">
        <v>0</v>
      </c>
      <c r="F4533">
        <v>0</v>
      </c>
      <c r="G4533">
        <v>0</v>
      </c>
      <c r="H4533" s="501">
        <v>1180</v>
      </c>
      <c r="I4533" s="183" t="s">
        <v>3577</v>
      </c>
      <c r="J4533" s="183" t="s">
        <v>12081</v>
      </c>
      <c r="K4533">
        <v>0</v>
      </c>
      <c r="L4533" s="501">
        <v>1180</v>
      </c>
    </row>
    <row r="4534" spans="1:12">
      <c r="A4534" s="183" t="s">
        <v>3636</v>
      </c>
      <c r="B4534" s="183" t="s">
        <v>3576</v>
      </c>
      <c r="C4534">
        <v>8800245474466</v>
      </c>
      <c r="D4534" s="501">
        <v>1278</v>
      </c>
      <c r="E4534">
        <v>0</v>
      </c>
      <c r="F4534">
        <v>0</v>
      </c>
      <c r="G4534">
        <v>0</v>
      </c>
      <c r="H4534" s="501">
        <v>1278</v>
      </c>
      <c r="I4534" s="183" t="s">
        <v>3577</v>
      </c>
      <c r="J4534" s="183" t="s">
        <v>12067</v>
      </c>
      <c r="K4534">
        <v>0</v>
      </c>
      <c r="L4534" s="501">
        <v>1278</v>
      </c>
    </row>
    <row r="4535" spans="1:12">
      <c r="A4535" s="183" t="s">
        <v>3631</v>
      </c>
      <c r="B4535" s="183" t="s">
        <v>3576</v>
      </c>
      <c r="C4535">
        <v>8800245474503</v>
      </c>
      <c r="D4535" s="501">
        <v>1528</v>
      </c>
      <c r="E4535">
        <v>0</v>
      </c>
      <c r="F4535">
        <v>0</v>
      </c>
      <c r="G4535">
        <v>0</v>
      </c>
      <c r="H4535" s="501">
        <v>1528</v>
      </c>
      <c r="I4535" s="183" t="s">
        <v>3577</v>
      </c>
      <c r="J4535" s="183" t="s">
        <v>12092</v>
      </c>
      <c r="K4535">
        <v>0</v>
      </c>
      <c r="L4535" s="501">
        <v>1528</v>
      </c>
    </row>
    <row r="4536" spans="1:12">
      <c r="A4536" s="183" t="s">
        <v>3681</v>
      </c>
      <c r="B4536" s="183" t="s">
        <v>3576</v>
      </c>
      <c r="C4536">
        <v>8800245474589</v>
      </c>
      <c r="D4536">
        <v>781</v>
      </c>
      <c r="E4536">
        <v>0</v>
      </c>
      <c r="F4536">
        <v>0</v>
      </c>
      <c r="G4536">
        <v>0</v>
      </c>
      <c r="H4536">
        <v>781</v>
      </c>
      <c r="I4536" s="183" t="s">
        <v>3577</v>
      </c>
      <c r="J4536" s="183" t="s">
        <v>12093</v>
      </c>
      <c r="K4536">
        <v>0</v>
      </c>
      <c r="L4536">
        <v>781</v>
      </c>
    </row>
    <row r="4537" spans="1:12">
      <c r="A4537" s="183" t="s">
        <v>3606</v>
      </c>
      <c r="B4537" s="183" t="s">
        <v>3576</v>
      </c>
      <c r="C4537">
        <v>8800245474626</v>
      </c>
      <c r="D4537" s="501">
        <v>1628</v>
      </c>
      <c r="E4537">
        <v>0</v>
      </c>
      <c r="F4537">
        <v>0</v>
      </c>
      <c r="G4537">
        <v>0</v>
      </c>
      <c r="H4537" s="501">
        <v>1628</v>
      </c>
      <c r="I4537" s="183" t="s">
        <v>3577</v>
      </c>
      <c r="J4537" s="183" t="s">
        <v>12092</v>
      </c>
      <c r="K4537">
        <v>0</v>
      </c>
      <c r="L4537" s="501">
        <v>1628</v>
      </c>
    </row>
    <row r="4538" spans="1:12">
      <c r="A4538" s="183" t="s">
        <v>3976</v>
      </c>
      <c r="B4538" s="183" t="s">
        <v>3576</v>
      </c>
      <c r="C4538">
        <v>8800245474671</v>
      </c>
      <c r="D4538">
        <v>415</v>
      </c>
      <c r="E4538">
        <v>0</v>
      </c>
      <c r="F4538">
        <v>0</v>
      </c>
      <c r="G4538">
        <v>0</v>
      </c>
      <c r="H4538">
        <v>415</v>
      </c>
      <c r="I4538" s="183" t="s">
        <v>3577</v>
      </c>
      <c r="J4538" s="183" t="s">
        <v>12060</v>
      </c>
      <c r="K4538">
        <v>0</v>
      </c>
      <c r="L4538">
        <v>415</v>
      </c>
    </row>
    <row r="4539" spans="1:12">
      <c r="A4539" s="183" t="s">
        <v>3810</v>
      </c>
      <c r="B4539" s="183" t="s">
        <v>3576</v>
      </c>
      <c r="C4539">
        <v>8800245474688</v>
      </c>
      <c r="D4539">
        <v>661</v>
      </c>
      <c r="E4539">
        <v>0</v>
      </c>
      <c r="F4539">
        <v>0</v>
      </c>
      <c r="G4539">
        <v>0</v>
      </c>
      <c r="H4539">
        <v>661</v>
      </c>
      <c r="I4539" s="183" t="s">
        <v>3577</v>
      </c>
      <c r="J4539" s="183" t="s">
        <v>12053</v>
      </c>
      <c r="K4539">
        <v>0</v>
      </c>
      <c r="L4539">
        <v>661</v>
      </c>
    </row>
    <row r="4540" spans="1:12">
      <c r="A4540" s="183" t="s">
        <v>3611</v>
      </c>
      <c r="B4540" s="183" t="s">
        <v>3576</v>
      </c>
      <c r="C4540">
        <v>8800245474718</v>
      </c>
      <c r="D4540">
        <v>298</v>
      </c>
      <c r="E4540">
        <v>0</v>
      </c>
      <c r="F4540">
        <v>0</v>
      </c>
      <c r="G4540">
        <v>0</v>
      </c>
      <c r="H4540">
        <v>298</v>
      </c>
      <c r="I4540" s="183" t="s">
        <v>3577</v>
      </c>
      <c r="J4540" s="183" t="s">
        <v>12067</v>
      </c>
      <c r="K4540">
        <v>0</v>
      </c>
      <c r="L4540">
        <v>298</v>
      </c>
    </row>
    <row r="4541" spans="1:12">
      <c r="A4541" s="183" t="s">
        <v>3637</v>
      </c>
      <c r="B4541" s="183" t="s">
        <v>3574</v>
      </c>
      <c r="C4541">
        <v>8800245474978</v>
      </c>
      <c r="D4541">
        <v>634</v>
      </c>
      <c r="E4541">
        <v>0</v>
      </c>
      <c r="F4541">
        <v>0</v>
      </c>
      <c r="G4541">
        <v>0</v>
      </c>
      <c r="H4541">
        <v>634</v>
      </c>
      <c r="I4541" s="183" t="s">
        <v>3575</v>
      </c>
      <c r="J4541" s="183" t="s">
        <v>12087</v>
      </c>
      <c r="K4541">
        <v>0</v>
      </c>
      <c r="L4541">
        <v>634</v>
      </c>
    </row>
    <row r="4542" spans="1:12">
      <c r="A4542" s="183" t="s">
        <v>3630</v>
      </c>
      <c r="B4542" s="183" t="s">
        <v>3574</v>
      </c>
      <c r="C4542">
        <v>8800245475135</v>
      </c>
      <c r="D4542">
        <v>692</v>
      </c>
      <c r="E4542">
        <v>0</v>
      </c>
      <c r="F4542">
        <v>0</v>
      </c>
      <c r="G4542">
        <v>0</v>
      </c>
      <c r="H4542">
        <v>692</v>
      </c>
      <c r="I4542" s="183" t="s">
        <v>3575</v>
      </c>
      <c r="J4542" s="183" t="s">
        <v>12092</v>
      </c>
      <c r="K4542">
        <v>0</v>
      </c>
      <c r="L4542">
        <v>692</v>
      </c>
    </row>
    <row r="4543" spans="1:12">
      <c r="A4543" s="183" t="s">
        <v>8931</v>
      </c>
      <c r="B4543" s="183" t="s">
        <v>8927</v>
      </c>
      <c r="C4543">
        <v>8800358460165</v>
      </c>
      <c r="D4543">
        <v>45</v>
      </c>
      <c r="E4543">
        <v>0</v>
      </c>
      <c r="F4543">
        <v>0</v>
      </c>
      <c r="G4543">
        <v>0</v>
      </c>
      <c r="H4543">
        <v>45</v>
      </c>
      <c r="I4543" s="183" t="s">
        <v>8928</v>
      </c>
      <c r="J4543" s="183" t="s">
        <v>12063</v>
      </c>
      <c r="K4543">
        <v>0</v>
      </c>
      <c r="L4543">
        <v>45</v>
      </c>
    </row>
    <row r="4544" spans="1:12">
      <c r="A4544" s="183" t="s">
        <v>8709</v>
      </c>
      <c r="B4544" s="183" t="s">
        <v>8688</v>
      </c>
      <c r="C4544">
        <v>8800358460264</v>
      </c>
      <c r="D4544">
        <v>135</v>
      </c>
      <c r="E4544">
        <v>0</v>
      </c>
      <c r="F4544">
        <v>0</v>
      </c>
      <c r="G4544">
        <v>0</v>
      </c>
      <c r="H4544">
        <v>135</v>
      </c>
      <c r="I4544" s="183" t="s">
        <v>8689</v>
      </c>
      <c r="J4544" s="183" t="s">
        <v>12048</v>
      </c>
      <c r="K4544">
        <v>0</v>
      </c>
      <c r="L4544">
        <v>135</v>
      </c>
    </row>
    <row r="4545" spans="1:12">
      <c r="A4545" s="183" t="s">
        <v>8710</v>
      </c>
      <c r="B4545" s="183" t="s">
        <v>8688</v>
      </c>
      <c r="C4545">
        <v>8800358460363</v>
      </c>
      <c r="D4545">
        <v>45</v>
      </c>
      <c r="E4545">
        <v>0</v>
      </c>
      <c r="F4545">
        <v>0</v>
      </c>
      <c r="G4545">
        <v>0</v>
      </c>
      <c r="H4545">
        <v>45</v>
      </c>
      <c r="I4545" s="183" t="s">
        <v>8689</v>
      </c>
      <c r="J4545" s="183" t="s">
        <v>12048</v>
      </c>
      <c r="K4545">
        <v>0</v>
      </c>
      <c r="L4545">
        <v>45</v>
      </c>
    </row>
    <row r="4546" spans="1:12">
      <c r="A4546" s="183" t="s">
        <v>8711</v>
      </c>
      <c r="B4546" s="183" t="s">
        <v>8692</v>
      </c>
      <c r="C4546">
        <v>8800358460486</v>
      </c>
      <c r="D4546">
        <v>244</v>
      </c>
      <c r="E4546">
        <v>0</v>
      </c>
      <c r="F4546">
        <v>1</v>
      </c>
      <c r="G4546">
        <v>0</v>
      </c>
      <c r="H4546">
        <v>245</v>
      </c>
      <c r="I4546" s="183" t="s">
        <v>8693</v>
      </c>
      <c r="J4546" s="183" t="s">
        <v>12095</v>
      </c>
      <c r="K4546">
        <v>0</v>
      </c>
      <c r="L4546">
        <v>244</v>
      </c>
    </row>
    <row r="4547" spans="1:12">
      <c r="A4547" s="183" t="s">
        <v>8712</v>
      </c>
      <c r="B4547" s="183" t="s">
        <v>8692</v>
      </c>
      <c r="C4547">
        <v>8800358460615</v>
      </c>
      <c r="D4547">
        <v>130</v>
      </c>
      <c r="E4547">
        <v>0</v>
      </c>
      <c r="F4547">
        <v>0</v>
      </c>
      <c r="G4547">
        <v>0</v>
      </c>
      <c r="H4547">
        <v>130</v>
      </c>
      <c r="I4547" s="183" t="s">
        <v>8693</v>
      </c>
      <c r="J4547" s="183" t="s">
        <v>12066</v>
      </c>
      <c r="K4547">
        <v>0</v>
      </c>
      <c r="L4547">
        <v>130</v>
      </c>
    </row>
    <row r="4548" spans="1:12">
      <c r="A4548" s="183" t="s">
        <v>8713</v>
      </c>
      <c r="B4548" s="183" t="s">
        <v>8692</v>
      </c>
      <c r="C4548">
        <v>8800358460622</v>
      </c>
      <c r="D4548">
        <v>45</v>
      </c>
      <c r="E4548">
        <v>0</v>
      </c>
      <c r="F4548">
        <v>0</v>
      </c>
      <c r="G4548">
        <v>0</v>
      </c>
      <c r="H4548">
        <v>45</v>
      </c>
      <c r="I4548" s="183" t="s">
        <v>8693</v>
      </c>
      <c r="J4548" s="183" t="s">
        <v>12050</v>
      </c>
      <c r="K4548">
        <v>0</v>
      </c>
      <c r="L4548">
        <v>45</v>
      </c>
    </row>
    <row r="4549" spans="1:12">
      <c r="A4549" s="183" t="s">
        <v>8714</v>
      </c>
      <c r="B4549" s="183" t="s">
        <v>8692</v>
      </c>
      <c r="C4549">
        <v>8800358460738</v>
      </c>
      <c r="D4549">
        <v>15</v>
      </c>
      <c r="E4549">
        <v>0</v>
      </c>
      <c r="F4549">
        <v>0</v>
      </c>
      <c r="G4549">
        <v>0</v>
      </c>
      <c r="H4549">
        <v>15</v>
      </c>
      <c r="I4549" s="183" t="s">
        <v>8693</v>
      </c>
      <c r="J4549" s="183" t="s">
        <v>12055</v>
      </c>
      <c r="K4549">
        <v>0</v>
      </c>
      <c r="L4549">
        <v>15</v>
      </c>
    </row>
    <row r="4550" spans="1:12">
      <c r="A4550" s="183" t="s">
        <v>8715</v>
      </c>
      <c r="B4550" s="183" t="s">
        <v>8698</v>
      </c>
      <c r="C4550">
        <v>8800358460868</v>
      </c>
      <c r="D4550">
        <v>135</v>
      </c>
      <c r="E4550">
        <v>0</v>
      </c>
      <c r="F4550">
        <v>0</v>
      </c>
      <c r="G4550">
        <v>0</v>
      </c>
      <c r="H4550">
        <v>135</v>
      </c>
      <c r="I4550" s="183" t="s">
        <v>8699</v>
      </c>
      <c r="J4550" s="183" t="s">
        <v>12066</v>
      </c>
      <c r="K4550">
        <v>0</v>
      </c>
      <c r="L4550">
        <v>135</v>
      </c>
    </row>
    <row r="4551" spans="1:12">
      <c r="A4551" s="183" t="s">
        <v>8716</v>
      </c>
      <c r="B4551" s="183" t="s">
        <v>8698</v>
      </c>
      <c r="C4551">
        <v>8800358460950</v>
      </c>
      <c r="D4551">
        <v>45</v>
      </c>
      <c r="E4551">
        <v>0</v>
      </c>
      <c r="F4551">
        <v>0</v>
      </c>
      <c r="G4551">
        <v>0</v>
      </c>
      <c r="H4551">
        <v>45</v>
      </c>
      <c r="I4551" s="183" t="s">
        <v>8699</v>
      </c>
      <c r="J4551" s="183" t="s">
        <v>12066</v>
      </c>
      <c r="K4551">
        <v>0</v>
      </c>
      <c r="L4551">
        <v>45</v>
      </c>
    </row>
    <row r="4552" spans="1:12">
      <c r="A4552" s="183" t="s">
        <v>8717</v>
      </c>
      <c r="B4552" s="183" t="s">
        <v>8698</v>
      </c>
      <c r="C4552">
        <v>8800358460974</v>
      </c>
      <c r="D4552">
        <v>15</v>
      </c>
      <c r="E4552">
        <v>0</v>
      </c>
      <c r="F4552">
        <v>0</v>
      </c>
      <c r="G4552">
        <v>0</v>
      </c>
      <c r="H4552">
        <v>15</v>
      </c>
      <c r="I4552" s="183" t="s">
        <v>8699</v>
      </c>
      <c r="J4552" s="183" t="s">
        <v>12063</v>
      </c>
      <c r="K4552">
        <v>0</v>
      </c>
      <c r="L4552">
        <v>15</v>
      </c>
    </row>
    <row r="4553" spans="1:12">
      <c r="A4553" s="183" t="s">
        <v>5585</v>
      </c>
      <c r="B4553" s="183" t="s">
        <v>5246</v>
      </c>
      <c r="C4553">
        <v>8800322946701</v>
      </c>
      <c r="D4553">
        <v>50</v>
      </c>
      <c r="E4553">
        <v>0</v>
      </c>
      <c r="F4553">
        <v>0</v>
      </c>
      <c r="G4553">
        <v>0</v>
      </c>
      <c r="H4553">
        <v>50</v>
      </c>
      <c r="I4553" s="183" t="s">
        <v>5247</v>
      </c>
      <c r="J4553" s="183" t="s">
        <v>12061</v>
      </c>
      <c r="K4553">
        <v>0</v>
      </c>
      <c r="L4553">
        <v>50</v>
      </c>
    </row>
    <row r="4554" spans="1:12">
      <c r="A4554" s="183" t="s">
        <v>5245</v>
      </c>
      <c r="B4554" s="183" t="s">
        <v>5246</v>
      </c>
      <c r="C4554">
        <v>8800322948200</v>
      </c>
      <c r="D4554">
        <v>50</v>
      </c>
      <c r="E4554">
        <v>0</v>
      </c>
      <c r="F4554">
        <v>0</v>
      </c>
      <c r="G4554">
        <v>0</v>
      </c>
      <c r="H4554">
        <v>50</v>
      </c>
      <c r="I4554" s="183" t="s">
        <v>5247</v>
      </c>
      <c r="J4554" s="183" t="s">
        <v>12094</v>
      </c>
      <c r="K4554">
        <v>0</v>
      </c>
      <c r="L4554">
        <v>50</v>
      </c>
    </row>
    <row r="4555" spans="1:12">
      <c r="A4555" s="183" t="s">
        <v>5248</v>
      </c>
      <c r="B4555" s="183" t="s">
        <v>5246</v>
      </c>
      <c r="C4555">
        <v>8800322950715</v>
      </c>
      <c r="D4555">
        <v>526</v>
      </c>
      <c r="E4555">
        <v>0</v>
      </c>
      <c r="F4555">
        <v>0</v>
      </c>
      <c r="G4555">
        <v>0</v>
      </c>
      <c r="H4555">
        <v>526</v>
      </c>
      <c r="I4555" s="183" t="s">
        <v>5247</v>
      </c>
      <c r="J4555" s="183" t="s">
        <v>12055</v>
      </c>
      <c r="K4555">
        <v>0</v>
      </c>
      <c r="L4555">
        <v>526</v>
      </c>
    </row>
    <row r="4556" spans="1:12">
      <c r="A4556" s="183" t="s">
        <v>5586</v>
      </c>
      <c r="B4556" s="183" t="s">
        <v>5246</v>
      </c>
      <c r="C4556">
        <v>8800322947203</v>
      </c>
      <c r="D4556">
        <v>49</v>
      </c>
      <c r="E4556">
        <v>0</v>
      </c>
      <c r="F4556">
        <v>0</v>
      </c>
      <c r="G4556">
        <v>0</v>
      </c>
      <c r="H4556">
        <v>49</v>
      </c>
      <c r="I4556" s="183" t="s">
        <v>5247</v>
      </c>
      <c r="J4556" s="183" t="s">
        <v>12095</v>
      </c>
      <c r="K4556">
        <v>0</v>
      </c>
      <c r="L4556">
        <v>49</v>
      </c>
    </row>
    <row r="4557" spans="1:12">
      <c r="A4557" s="183" t="s">
        <v>5249</v>
      </c>
      <c r="B4557" s="183" t="s">
        <v>5246</v>
      </c>
      <c r="C4557">
        <v>8800322947463</v>
      </c>
      <c r="D4557">
        <v>50</v>
      </c>
      <c r="E4557">
        <v>0</v>
      </c>
      <c r="F4557">
        <v>0</v>
      </c>
      <c r="G4557">
        <v>0</v>
      </c>
      <c r="H4557">
        <v>50</v>
      </c>
      <c r="I4557" s="183" t="s">
        <v>5247</v>
      </c>
      <c r="J4557" s="183" t="s">
        <v>12048</v>
      </c>
      <c r="K4557">
        <v>0</v>
      </c>
      <c r="L4557">
        <v>50</v>
      </c>
    </row>
    <row r="4558" spans="1:12">
      <c r="A4558" s="183" t="s">
        <v>5587</v>
      </c>
      <c r="B4558" s="183" t="s">
        <v>5246</v>
      </c>
      <c r="C4558">
        <v>8800322947210</v>
      </c>
      <c r="D4558">
        <v>50</v>
      </c>
      <c r="E4558">
        <v>0</v>
      </c>
      <c r="F4558">
        <v>0</v>
      </c>
      <c r="G4558">
        <v>0</v>
      </c>
      <c r="H4558">
        <v>50</v>
      </c>
      <c r="I4558" s="183" t="s">
        <v>5247</v>
      </c>
      <c r="J4558" s="183" t="s">
        <v>12061</v>
      </c>
      <c r="K4558">
        <v>0</v>
      </c>
      <c r="L4558">
        <v>50</v>
      </c>
    </row>
    <row r="4559" spans="1:12">
      <c r="A4559" s="183" t="s">
        <v>5588</v>
      </c>
      <c r="B4559" s="183" t="s">
        <v>5246</v>
      </c>
      <c r="C4559">
        <v>8800322950227</v>
      </c>
      <c r="D4559">
        <v>50</v>
      </c>
      <c r="E4559">
        <v>0</v>
      </c>
      <c r="F4559">
        <v>0</v>
      </c>
      <c r="G4559">
        <v>0</v>
      </c>
      <c r="H4559">
        <v>50</v>
      </c>
      <c r="I4559" s="183" t="s">
        <v>5247</v>
      </c>
      <c r="J4559" s="183" t="s">
        <v>12085</v>
      </c>
      <c r="K4559">
        <v>0</v>
      </c>
      <c r="L4559">
        <v>50</v>
      </c>
    </row>
    <row r="4560" spans="1:12">
      <c r="A4560" s="183" t="s">
        <v>5589</v>
      </c>
      <c r="B4560" s="183" t="s">
        <v>5246</v>
      </c>
      <c r="C4560">
        <v>8800322950234</v>
      </c>
      <c r="D4560">
        <v>50</v>
      </c>
      <c r="E4560">
        <v>0</v>
      </c>
      <c r="F4560">
        <v>0</v>
      </c>
      <c r="G4560">
        <v>0</v>
      </c>
      <c r="H4560">
        <v>50</v>
      </c>
      <c r="I4560" s="183" t="s">
        <v>5247</v>
      </c>
      <c r="J4560" s="183" t="s">
        <v>12087</v>
      </c>
      <c r="K4560">
        <v>0</v>
      </c>
      <c r="L4560">
        <v>50</v>
      </c>
    </row>
    <row r="4561" spans="1:12">
      <c r="A4561" s="183" t="s">
        <v>5250</v>
      </c>
      <c r="B4561" s="183" t="s">
        <v>5251</v>
      </c>
      <c r="C4561">
        <v>8800322947494</v>
      </c>
      <c r="D4561">
        <v>50</v>
      </c>
      <c r="E4561">
        <v>0</v>
      </c>
      <c r="F4561">
        <v>0</v>
      </c>
      <c r="G4561">
        <v>0</v>
      </c>
      <c r="H4561">
        <v>50</v>
      </c>
      <c r="I4561" s="183" t="s">
        <v>5247</v>
      </c>
      <c r="J4561" s="183" t="s">
        <v>12048</v>
      </c>
      <c r="K4561">
        <v>0</v>
      </c>
      <c r="L4561">
        <v>50</v>
      </c>
    </row>
    <row r="4562" spans="1:12">
      <c r="A4562" s="183" t="s">
        <v>5590</v>
      </c>
      <c r="B4562" s="183" t="s">
        <v>5251</v>
      </c>
      <c r="C4562">
        <v>8800322950500</v>
      </c>
      <c r="D4562">
        <v>489</v>
      </c>
      <c r="E4562">
        <v>0</v>
      </c>
      <c r="F4562">
        <v>0</v>
      </c>
      <c r="G4562">
        <v>0</v>
      </c>
      <c r="H4562">
        <v>489</v>
      </c>
      <c r="I4562" s="183" t="s">
        <v>5247</v>
      </c>
      <c r="J4562" s="183" t="s">
        <v>12063</v>
      </c>
      <c r="K4562">
        <v>0</v>
      </c>
      <c r="L4562">
        <v>489</v>
      </c>
    </row>
    <row r="4563" spans="1:12">
      <c r="A4563" s="183" t="s">
        <v>5252</v>
      </c>
      <c r="B4563" s="183" t="s">
        <v>5251</v>
      </c>
      <c r="C4563">
        <v>8800322950517</v>
      </c>
      <c r="D4563">
        <v>524</v>
      </c>
      <c r="E4563">
        <v>0</v>
      </c>
      <c r="F4563">
        <v>0</v>
      </c>
      <c r="G4563">
        <v>0</v>
      </c>
      <c r="H4563">
        <v>524</v>
      </c>
      <c r="I4563" s="183" t="s">
        <v>5247</v>
      </c>
      <c r="J4563" s="183" t="s">
        <v>12085</v>
      </c>
      <c r="K4563">
        <v>0</v>
      </c>
      <c r="L4563">
        <v>524</v>
      </c>
    </row>
    <row r="4564" spans="1:12">
      <c r="A4564" s="183" t="s">
        <v>5591</v>
      </c>
      <c r="B4564" s="183" t="s">
        <v>5251</v>
      </c>
      <c r="C4564">
        <v>8800322950265</v>
      </c>
      <c r="D4564">
        <v>50</v>
      </c>
      <c r="E4564">
        <v>0</v>
      </c>
      <c r="F4564">
        <v>0</v>
      </c>
      <c r="G4564">
        <v>0</v>
      </c>
      <c r="H4564">
        <v>50</v>
      </c>
      <c r="I4564" s="183" t="s">
        <v>5247</v>
      </c>
      <c r="J4564" s="183" t="s">
        <v>12085</v>
      </c>
      <c r="K4564">
        <v>0</v>
      </c>
      <c r="L4564">
        <v>50</v>
      </c>
    </row>
    <row r="4565" spans="1:12">
      <c r="A4565" s="183" t="s">
        <v>5253</v>
      </c>
      <c r="B4565" s="183" t="s">
        <v>5251</v>
      </c>
      <c r="C4565">
        <v>8800322947517</v>
      </c>
      <c r="D4565">
        <v>50</v>
      </c>
      <c r="E4565">
        <v>0</v>
      </c>
      <c r="F4565">
        <v>0</v>
      </c>
      <c r="G4565">
        <v>0</v>
      </c>
      <c r="H4565">
        <v>50</v>
      </c>
      <c r="I4565" s="183" t="s">
        <v>5247</v>
      </c>
      <c r="J4565" s="183" t="s">
        <v>12085</v>
      </c>
      <c r="K4565">
        <v>0</v>
      </c>
      <c r="L4565">
        <v>50</v>
      </c>
    </row>
    <row r="4566" spans="1:12">
      <c r="A4566" s="183" t="s">
        <v>5254</v>
      </c>
      <c r="B4566" s="183" t="s">
        <v>5251</v>
      </c>
      <c r="C4566">
        <v>8800322951026</v>
      </c>
      <c r="D4566">
        <v>493</v>
      </c>
      <c r="E4566">
        <v>0</v>
      </c>
      <c r="F4566">
        <v>0</v>
      </c>
      <c r="G4566">
        <v>0</v>
      </c>
      <c r="H4566">
        <v>493</v>
      </c>
      <c r="I4566" s="183" t="s">
        <v>5247</v>
      </c>
      <c r="J4566" s="183" t="s">
        <v>12055</v>
      </c>
      <c r="K4566">
        <v>0</v>
      </c>
      <c r="L4566">
        <v>493</v>
      </c>
    </row>
    <row r="4567" spans="1:12">
      <c r="A4567" s="183" t="s">
        <v>5789</v>
      </c>
      <c r="B4567" s="183" t="s">
        <v>5251</v>
      </c>
      <c r="C4567">
        <v>8800322948774</v>
      </c>
      <c r="D4567">
        <v>50</v>
      </c>
      <c r="E4567">
        <v>0</v>
      </c>
      <c r="F4567">
        <v>0</v>
      </c>
      <c r="G4567">
        <v>0</v>
      </c>
      <c r="H4567">
        <v>50</v>
      </c>
      <c r="I4567" s="183" t="s">
        <v>5247</v>
      </c>
      <c r="J4567" s="183" t="s">
        <v>12095</v>
      </c>
      <c r="K4567">
        <v>0</v>
      </c>
      <c r="L4567">
        <v>50</v>
      </c>
    </row>
    <row r="4568" spans="1:12">
      <c r="A4568" s="183" t="s">
        <v>5255</v>
      </c>
      <c r="B4568" s="183" t="s">
        <v>5256</v>
      </c>
      <c r="C4568">
        <v>8800322949030</v>
      </c>
      <c r="D4568">
        <v>50</v>
      </c>
      <c r="E4568">
        <v>0</v>
      </c>
      <c r="F4568">
        <v>0</v>
      </c>
      <c r="G4568">
        <v>0</v>
      </c>
      <c r="H4568">
        <v>50</v>
      </c>
      <c r="I4568" s="183" t="s">
        <v>5247</v>
      </c>
      <c r="J4568" s="183" t="s">
        <v>12066</v>
      </c>
      <c r="K4568">
        <v>0</v>
      </c>
      <c r="L4568">
        <v>50</v>
      </c>
    </row>
    <row r="4569" spans="1:12">
      <c r="A4569" s="183" t="s">
        <v>5257</v>
      </c>
      <c r="B4569" s="183" t="s">
        <v>5256</v>
      </c>
      <c r="C4569">
        <v>8800322950548</v>
      </c>
      <c r="D4569">
        <v>494</v>
      </c>
      <c r="E4569">
        <v>0</v>
      </c>
      <c r="F4569">
        <v>0</v>
      </c>
      <c r="G4569">
        <v>0</v>
      </c>
      <c r="H4569">
        <v>494</v>
      </c>
      <c r="I4569" s="183" t="s">
        <v>5247</v>
      </c>
      <c r="J4569" s="183" t="s">
        <v>12095</v>
      </c>
      <c r="K4569">
        <v>0</v>
      </c>
      <c r="L4569">
        <v>494</v>
      </c>
    </row>
    <row r="4570" spans="1:12">
      <c r="A4570" s="183" t="s">
        <v>5258</v>
      </c>
      <c r="B4570" s="183" t="s">
        <v>5256</v>
      </c>
      <c r="C4570">
        <v>8800322947036</v>
      </c>
      <c r="D4570">
        <v>50</v>
      </c>
      <c r="E4570">
        <v>0</v>
      </c>
      <c r="F4570">
        <v>0</v>
      </c>
      <c r="G4570">
        <v>0</v>
      </c>
      <c r="H4570">
        <v>50</v>
      </c>
      <c r="I4570" s="183" t="s">
        <v>5247</v>
      </c>
      <c r="J4570" s="183" t="s">
        <v>12055</v>
      </c>
      <c r="K4570">
        <v>0</v>
      </c>
      <c r="L4570">
        <v>50</v>
      </c>
    </row>
    <row r="4571" spans="1:12">
      <c r="A4571" s="183" t="s">
        <v>5592</v>
      </c>
      <c r="B4571" s="183" t="s">
        <v>5256</v>
      </c>
      <c r="C4571">
        <v>8800322950043</v>
      </c>
      <c r="D4571">
        <v>50</v>
      </c>
      <c r="E4571">
        <v>0</v>
      </c>
      <c r="F4571">
        <v>0</v>
      </c>
      <c r="G4571">
        <v>0</v>
      </c>
      <c r="H4571">
        <v>50</v>
      </c>
      <c r="I4571" s="183" t="s">
        <v>5247</v>
      </c>
      <c r="J4571" s="183" t="s">
        <v>12095</v>
      </c>
      <c r="K4571">
        <v>0</v>
      </c>
      <c r="L4571">
        <v>50</v>
      </c>
    </row>
    <row r="4572" spans="1:12">
      <c r="A4572" s="183" t="s">
        <v>5593</v>
      </c>
      <c r="B4572" s="183" t="s">
        <v>5256</v>
      </c>
      <c r="C4572">
        <v>8800322946794</v>
      </c>
      <c r="D4572">
        <v>50</v>
      </c>
      <c r="E4572">
        <v>0</v>
      </c>
      <c r="F4572">
        <v>0</v>
      </c>
      <c r="G4572">
        <v>0</v>
      </c>
      <c r="H4572">
        <v>50</v>
      </c>
      <c r="I4572" s="183" t="s">
        <v>5247</v>
      </c>
      <c r="J4572" s="183" t="s">
        <v>12057</v>
      </c>
      <c r="K4572">
        <v>0</v>
      </c>
      <c r="L4572">
        <v>50</v>
      </c>
    </row>
    <row r="4573" spans="1:12">
      <c r="A4573" s="183" t="s">
        <v>5594</v>
      </c>
      <c r="B4573" s="183" t="s">
        <v>5256</v>
      </c>
      <c r="C4573">
        <v>8800322948040</v>
      </c>
      <c r="D4573">
        <v>50</v>
      </c>
      <c r="E4573">
        <v>0</v>
      </c>
      <c r="F4573">
        <v>0</v>
      </c>
      <c r="G4573">
        <v>0</v>
      </c>
      <c r="H4573">
        <v>50</v>
      </c>
      <c r="I4573" s="183" t="s">
        <v>5247</v>
      </c>
      <c r="J4573" s="183" t="s">
        <v>12066</v>
      </c>
      <c r="K4573">
        <v>0</v>
      </c>
      <c r="L4573">
        <v>50</v>
      </c>
    </row>
    <row r="4574" spans="1:12">
      <c r="A4574" s="183" t="s">
        <v>5259</v>
      </c>
      <c r="B4574" s="183" t="s">
        <v>5256</v>
      </c>
      <c r="C4574">
        <v>8800322951057</v>
      </c>
      <c r="D4574">
        <v>496</v>
      </c>
      <c r="E4574">
        <v>0</v>
      </c>
      <c r="F4574">
        <v>0</v>
      </c>
      <c r="G4574">
        <v>0</v>
      </c>
      <c r="H4574">
        <v>496</v>
      </c>
      <c r="I4574" s="183" t="s">
        <v>5247</v>
      </c>
      <c r="J4574" s="183" t="s">
        <v>12085</v>
      </c>
      <c r="K4574">
        <v>0</v>
      </c>
      <c r="L4574">
        <v>496</v>
      </c>
    </row>
    <row r="4575" spans="1:12">
      <c r="A4575" s="183" t="s">
        <v>5260</v>
      </c>
      <c r="B4575" s="183" t="s">
        <v>5256</v>
      </c>
      <c r="C4575">
        <v>8800322947555</v>
      </c>
      <c r="D4575">
        <v>50</v>
      </c>
      <c r="E4575">
        <v>0</v>
      </c>
      <c r="F4575">
        <v>0</v>
      </c>
      <c r="G4575">
        <v>0</v>
      </c>
      <c r="H4575">
        <v>50</v>
      </c>
      <c r="I4575" s="183" t="s">
        <v>5247</v>
      </c>
      <c r="J4575" s="183" t="s">
        <v>12048</v>
      </c>
      <c r="K4575">
        <v>0</v>
      </c>
      <c r="L4575">
        <v>50</v>
      </c>
    </row>
    <row r="4576" spans="1:12">
      <c r="A4576" s="183" t="s">
        <v>5261</v>
      </c>
      <c r="B4576" s="183" t="s">
        <v>5256</v>
      </c>
      <c r="C4576">
        <v>8800322948309</v>
      </c>
      <c r="D4576">
        <v>50</v>
      </c>
      <c r="E4576">
        <v>0</v>
      </c>
      <c r="F4576">
        <v>0</v>
      </c>
      <c r="G4576">
        <v>0</v>
      </c>
      <c r="H4576">
        <v>50</v>
      </c>
      <c r="I4576" s="183" t="s">
        <v>5247</v>
      </c>
      <c r="J4576" s="183" t="s">
        <v>12063</v>
      </c>
      <c r="K4576">
        <v>0</v>
      </c>
      <c r="L4576">
        <v>50</v>
      </c>
    </row>
    <row r="4577" spans="1:12">
      <c r="A4577" s="183" t="s">
        <v>5262</v>
      </c>
      <c r="B4577" s="183" t="s">
        <v>5256</v>
      </c>
      <c r="C4577">
        <v>8800322950562</v>
      </c>
      <c r="D4577">
        <v>506</v>
      </c>
      <c r="E4577">
        <v>0</v>
      </c>
      <c r="F4577">
        <v>0</v>
      </c>
      <c r="G4577">
        <v>0</v>
      </c>
      <c r="H4577">
        <v>506</v>
      </c>
      <c r="I4577" s="183" t="s">
        <v>5247</v>
      </c>
      <c r="J4577" s="183" t="s">
        <v>12085</v>
      </c>
      <c r="K4577">
        <v>0</v>
      </c>
      <c r="L4577">
        <v>506</v>
      </c>
    </row>
    <row r="4578" spans="1:12">
      <c r="A4578" s="183" t="s">
        <v>5595</v>
      </c>
      <c r="B4578" s="183" t="s">
        <v>5256</v>
      </c>
      <c r="C4578">
        <v>8800322950067</v>
      </c>
      <c r="D4578">
        <v>50</v>
      </c>
      <c r="E4578">
        <v>0</v>
      </c>
      <c r="F4578">
        <v>0</v>
      </c>
      <c r="G4578">
        <v>0</v>
      </c>
      <c r="H4578">
        <v>50</v>
      </c>
      <c r="I4578" s="183" t="s">
        <v>5247</v>
      </c>
      <c r="J4578" s="183" t="s">
        <v>12094</v>
      </c>
      <c r="K4578">
        <v>0</v>
      </c>
      <c r="L4578">
        <v>50</v>
      </c>
    </row>
    <row r="4579" spans="1:12">
      <c r="A4579" s="183" t="s">
        <v>5790</v>
      </c>
      <c r="B4579" s="183" t="s">
        <v>5256</v>
      </c>
      <c r="C4579">
        <v>8800322948804</v>
      </c>
      <c r="D4579">
        <v>50</v>
      </c>
      <c r="E4579">
        <v>0</v>
      </c>
      <c r="F4579">
        <v>0</v>
      </c>
      <c r="G4579">
        <v>0</v>
      </c>
      <c r="H4579">
        <v>50</v>
      </c>
      <c r="I4579" s="183" t="s">
        <v>5247</v>
      </c>
      <c r="J4579" s="183" t="s">
        <v>12050</v>
      </c>
      <c r="K4579">
        <v>0</v>
      </c>
      <c r="L4579">
        <v>50</v>
      </c>
    </row>
    <row r="4580" spans="1:12">
      <c r="A4580" s="183" t="s">
        <v>5263</v>
      </c>
      <c r="B4580" s="183" t="s">
        <v>5256</v>
      </c>
      <c r="C4580">
        <v>8800322951064</v>
      </c>
      <c r="D4580">
        <v>490</v>
      </c>
      <c r="E4580">
        <v>0</v>
      </c>
      <c r="F4580">
        <v>0</v>
      </c>
      <c r="G4580">
        <v>0</v>
      </c>
      <c r="H4580">
        <v>490</v>
      </c>
      <c r="I4580" s="183" t="s">
        <v>5247</v>
      </c>
      <c r="J4580" s="183" t="s">
        <v>12095</v>
      </c>
      <c r="K4580">
        <v>0</v>
      </c>
      <c r="L4580">
        <v>490</v>
      </c>
    </row>
    <row r="4581" spans="1:12">
      <c r="A4581" s="183" t="s">
        <v>5264</v>
      </c>
      <c r="B4581" s="183" t="s">
        <v>5256</v>
      </c>
      <c r="C4581">
        <v>8800322950579</v>
      </c>
      <c r="D4581">
        <v>666</v>
      </c>
      <c r="E4581">
        <v>0</v>
      </c>
      <c r="F4581">
        <v>0</v>
      </c>
      <c r="G4581">
        <v>0</v>
      </c>
      <c r="H4581">
        <v>666</v>
      </c>
      <c r="I4581" s="183" t="s">
        <v>5247</v>
      </c>
      <c r="J4581" s="183" t="s">
        <v>12085</v>
      </c>
      <c r="K4581">
        <v>0</v>
      </c>
      <c r="L4581">
        <v>666</v>
      </c>
    </row>
    <row r="4582" spans="1:12">
      <c r="A4582" s="183" t="s">
        <v>5596</v>
      </c>
      <c r="B4582" s="183" t="s">
        <v>5256</v>
      </c>
      <c r="C4582">
        <v>8800322947319</v>
      </c>
      <c r="D4582">
        <v>50</v>
      </c>
      <c r="E4582">
        <v>0</v>
      </c>
      <c r="F4582">
        <v>0</v>
      </c>
      <c r="G4582">
        <v>0</v>
      </c>
      <c r="H4582">
        <v>50</v>
      </c>
      <c r="I4582" s="183" t="s">
        <v>5247</v>
      </c>
      <c r="J4582" s="183" t="s">
        <v>12095</v>
      </c>
      <c r="K4582">
        <v>0</v>
      </c>
      <c r="L4582">
        <v>50</v>
      </c>
    </row>
    <row r="4583" spans="1:12">
      <c r="A4583" s="183" t="s">
        <v>5597</v>
      </c>
      <c r="B4583" s="183" t="s">
        <v>5256</v>
      </c>
      <c r="C4583">
        <v>8800322948064</v>
      </c>
      <c r="D4583">
        <v>50</v>
      </c>
      <c r="E4583">
        <v>0</v>
      </c>
      <c r="F4583">
        <v>0</v>
      </c>
      <c r="G4583">
        <v>0</v>
      </c>
      <c r="H4583">
        <v>50</v>
      </c>
      <c r="I4583" s="183" t="s">
        <v>5247</v>
      </c>
      <c r="J4583" s="183" t="s">
        <v>12085</v>
      </c>
      <c r="K4583">
        <v>0</v>
      </c>
      <c r="L4583">
        <v>50</v>
      </c>
    </row>
    <row r="4584" spans="1:12">
      <c r="A4584" s="183" t="s">
        <v>5265</v>
      </c>
      <c r="B4584" s="183" t="s">
        <v>5256</v>
      </c>
      <c r="C4584">
        <v>8800322951071</v>
      </c>
      <c r="D4584">
        <v>492</v>
      </c>
      <c r="E4584">
        <v>0</v>
      </c>
      <c r="F4584">
        <v>0</v>
      </c>
      <c r="G4584">
        <v>0</v>
      </c>
      <c r="H4584">
        <v>492</v>
      </c>
      <c r="I4584" s="183" t="s">
        <v>5247</v>
      </c>
      <c r="J4584" s="183" t="s">
        <v>12048</v>
      </c>
      <c r="K4584">
        <v>0</v>
      </c>
      <c r="L4584">
        <v>492</v>
      </c>
    </row>
    <row r="4585" spans="1:12">
      <c r="A4585" s="183" t="s">
        <v>5266</v>
      </c>
      <c r="B4585" s="183" t="s">
        <v>5267</v>
      </c>
      <c r="C4585">
        <v>8800322949078</v>
      </c>
      <c r="D4585">
        <v>50</v>
      </c>
      <c r="E4585">
        <v>0</v>
      </c>
      <c r="F4585">
        <v>0</v>
      </c>
      <c r="G4585">
        <v>0</v>
      </c>
      <c r="H4585">
        <v>50</v>
      </c>
      <c r="I4585" s="183" t="s">
        <v>5247</v>
      </c>
      <c r="J4585" s="183" t="s">
        <v>12063</v>
      </c>
      <c r="K4585">
        <v>0</v>
      </c>
      <c r="L4585">
        <v>50</v>
      </c>
    </row>
    <row r="4586" spans="1:12">
      <c r="A4586" s="183" t="s">
        <v>5598</v>
      </c>
      <c r="B4586" s="183" t="s">
        <v>5267</v>
      </c>
      <c r="C4586">
        <v>8800322946831</v>
      </c>
      <c r="D4586">
        <v>50</v>
      </c>
      <c r="E4586">
        <v>0</v>
      </c>
      <c r="F4586">
        <v>0</v>
      </c>
      <c r="G4586">
        <v>0</v>
      </c>
      <c r="H4586">
        <v>50</v>
      </c>
      <c r="I4586" s="183" t="s">
        <v>5247</v>
      </c>
      <c r="J4586" s="183" t="s">
        <v>12095</v>
      </c>
      <c r="K4586">
        <v>0</v>
      </c>
      <c r="L4586">
        <v>50</v>
      </c>
    </row>
    <row r="4587" spans="1:12">
      <c r="A4587" s="183" t="s">
        <v>5268</v>
      </c>
      <c r="B4587" s="183" t="s">
        <v>5267</v>
      </c>
      <c r="C4587">
        <v>8800322948330</v>
      </c>
      <c r="D4587">
        <v>49</v>
      </c>
      <c r="E4587">
        <v>0</v>
      </c>
      <c r="F4587">
        <v>0</v>
      </c>
      <c r="G4587">
        <v>0</v>
      </c>
      <c r="H4587">
        <v>49</v>
      </c>
      <c r="I4587" s="183" t="s">
        <v>5247</v>
      </c>
      <c r="J4587" s="183" t="s">
        <v>12066</v>
      </c>
      <c r="K4587">
        <v>0</v>
      </c>
      <c r="L4587">
        <v>49</v>
      </c>
    </row>
    <row r="4588" spans="1:12">
      <c r="A4588" s="183" t="s">
        <v>5269</v>
      </c>
      <c r="B4588" s="183" t="s">
        <v>5267</v>
      </c>
      <c r="C4588">
        <v>8800322947593</v>
      </c>
      <c r="D4588">
        <v>50</v>
      </c>
      <c r="E4588">
        <v>0</v>
      </c>
      <c r="F4588">
        <v>0</v>
      </c>
      <c r="G4588">
        <v>0</v>
      </c>
      <c r="H4588">
        <v>50</v>
      </c>
      <c r="I4588" s="183" t="s">
        <v>5247</v>
      </c>
      <c r="J4588" s="183" t="s">
        <v>12048</v>
      </c>
      <c r="K4588">
        <v>0</v>
      </c>
      <c r="L4588">
        <v>50</v>
      </c>
    </row>
    <row r="4589" spans="1:12">
      <c r="A4589" s="183" t="s">
        <v>5270</v>
      </c>
      <c r="B4589" s="183" t="s">
        <v>5267</v>
      </c>
      <c r="C4589">
        <v>8800322949849</v>
      </c>
      <c r="D4589">
        <v>49</v>
      </c>
      <c r="E4589">
        <v>0</v>
      </c>
      <c r="F4589">
        <v>0</v>
      </c>
      <c r="G4589">
        <v>0</v>
      </c>
      <c r="H4589">
        <v>49</v>
      </c>
      <c r="I4589" s="183" t="s">
        <v>5247</v>
      </c>
      <c r="J4589" s="183" t="s">
        <v>12087</v>
      </c>
      <c r="K4589">
        <v>0</v>
      </c>
      <c r="L4589">
        <v>49</v>
      </c>
    </row>
    <row r="4590" spans="1:12">
      <c r="A4590" s="183" t="s">
        <v>5623</v>
      </c>
      <c r="B4590" s="183" t="s">
        <v>5267</v>
      </c>
      <c r="C4590">
        <v>8800322947845</v>
      </c>
      <c r="D4590">
        <v>50</v>
      </c>
      <c r="E4590">
        <v>0</v>
      </c>
      <c r="F4590">
        <v>0</v>
      </c>
      <c r="G4590">
        <v>0</v>
      </c>
      <c r="H4590">
        <v>50</v>
      </c>
      <c r="I4590" s="183" t="s">
        <v>5247</v>
      </c>
      <c r="J4590" s="183" t="s">
        <v>12085</v>
      </c>
      <c r="K4590">
        <v>0</v>
      </c>
      <c r="L4590">
        <v>50</v>
      </c>
    </row>
    <row r="4591" spans="1:12">
      <c r="A4591" s="183" t="s">
        <v>5624</v>
      </c>
      <c r="B4591" s="183" t="s">
        <v>5267</v>
      </c>
      <c r="C4591">
        <v>8800322949344</v>
      </c>
      <c r="D4591">
        <v>50</v>
      </c>
      <c r="E4591">
        <v>0</v>
      </c>
      <c r="F4591">
        <v>0</v>
      </c>
      <c r="G4591">
        <v>0</v>
      </c>
      <c r="H4591">
        <v>50</v>
      </c>
      <c r="I4591" s="183" t="s">
        <v>5247</v>
      </c>
      <c r="J4591" s="183" t="s">
        <v>12087</v>
      </c>
      <c r="K4591">
        <v>0</v>
      </c>
      <c r="L4591">
        <v>50</v>
      </c>
    </row>
    <row r="4592" spans="1:12">
      <c r="A4592" s="183" t="s">
        <v>5625</v>
      </c>
      <c r="B4592" s="183" t="s">
        <v>5267</v>
      </c>
      <c r="C4592">
        <v>8800322950104</v>
      </c>
      <c r="D4592">
        <v>50</v>
      </c>
      <c r="E4592">
        <v>0</v>
      </c>
      <c r="F4592">
        <v>0</v>
      </c>
      <c r="G4592">
        <v>0</v>
      </c>
      <c r="H4592">
        <v>50</v>
      </c>
      <c r="I4592" s="183" t="s">
        <v>5247</v>
      </c>
      <c r="J4592" s="183" t="s">
        <v>12048</v>
      </c>
      <c r="K4592">
        <v>0</v>
      </c>
      <c r="L4592">
        <v>50</v>
      </c>
    </row>
    <row r="4593" spans="1:12">
      <c r="A4593" s="183" t="s">
        <v>5626</v>
      </c>
      <c r="B4593" s="183" t="s">
        <v>5267</v>
      </c>
      <c r="C4593">
        <v>8800322947340</v>
      </c>
      <c r="D4593">
        <v>50</v>
      </c>
      <c r="E4593">
        <v>0</v>
      </c>
      <c r="F4593">
        <v>0</v>
      </c>
      <c r="G4593">
        <v>0</v>
      </c>
      <c r="H4593">
        <v>50</v>
      </c>
      <c r="I4593" s="183" t="s">
        <v>5247</v>
      </c>
      <c r="J4593" s="183" t="s">
        <v>12095</v>
      </c>
      <c r="K4593">
        <v>0</v>
      </c>
      <c r="L4593">
        <v>50</v>
      </c>
    </row>
    <row r="4594" spans="1:12">
      <c r="A4594" s="183" t="s">
        <v>5627</v>
      </c>
      <c r="B4594" s="183" t="s">
        <v>5267</v>
      </c>
      <c r="C4594">
        <v>8800322948095</v>
      </c>
      <c r="D4594">
        <v>49</v>
      </c>
      <c r="E4594">
        <v>0</v>
      </c>
      <c r="F4594">
        <v>0</v>
      </c>
      <c r="G4594">
        <v>0</v>
      </c>
      <c r="H4594">
        <v>49</v>
      </c>
      <c r="I4594" s="183" t="s">
        <v>5247</v>
      </c>
      <c r="J4594" s="183" t="s">
        <v>12048</v>
      </c>
      <c r="K4594">
        <v>0</v>
      </c>
      <c r="L4594">
        <v>49</v>
      </c>
    </row>
    <row r="4595" spans="1:12">
      <c r="A4595" s="183" t="s">
        <v>5791</v>
      </c>
      <c r="B4595" s="183" t="s">
        <v>5267</v>
      </c>
      <c r="C4595">
        <v>8800322948842</v>
      </c>
      <c r="D4595">
        <v>50</v>
      </c>
      <c r="E4595">
        <v>0</v>
      </c>
      <c r="F4595">
        <v>0</v>
      </c>
      <c r="G4595">
        <v>0</v>
      </c>
      <c r="H4595">
        <v>50</v>
      </c>
      <c r="I4595" s="183" t="s">
        <v>5247</v>
      </c>
      <c r="J4595" s="183" t="s">
        <v>12087</v>
      </c>
      <c r="K4595">
        <v>0</v>
      </c>
      <c r="L4595">
        <v>50</v>
      </c>
    </row>
    <row r="4596" spans="1:12">
      <c r="A4596" s="183" t="s">
        <v>5792</v>
      </c>
      <c r="B4596" s="183" t="s">
        <v>5267</v>
      </c>
      <c r="C4596">
        <v>8800322949597</v>
      </c>
      <c r="D4596">
        <v>50</v>
      </c>
      <c r="E4596">
        <v>0</v>
      </c>
      <c r="F4596">
        <v>0</v>
      </c>
      <c r="G4596">
        <v>0</v>
      </c>
      <c r="H4596">
        <v>50</v>
      </c>
      <c r="I4596" s="183" t="s">
        <v>5247</v>
      </c>
      <c r="J4596" s="183" t="s">
        <v>12066</v>
      </c>
      <c r="K4596">
        <v>0</v>
      </c>
      <c r="L4596">
        <v>50</v>
      </c>
    </row>
    <row r="4597" spans="1:12">
      <c r="A4597" s="183" t="s">
        <v>5271</v>
      </c>
      <c r="B4597" s="183" t="s">
        <v>5267</v>
      </c>
      <c r="C4597">
        <v>8800322950616</v>
      </c>
      <c r="D4597">
        <v>495</v>
      </c>
      <c r="E4597">
        <v>0</v>
      </c>
      <c r="F4597">
        <v>0</v>
      </c>
      <c r="G4597">
        <v>0</v>
      </c>
      <c r="H4597">
        <v>495</v>
      </c>
      <c r="I4597" s="183" t="s">
        <v>5247</v>
      </c>
      <c r="J4597" s="183" t="s">
        <v>12050</v>
      </c>
      <c r="K4597">
        <v>0</v>
      </c>
      <c r="L4597">
        <v>495</v>
      </c>
    </row>
    <row r="4598" spans="1:12">
      <c r="A4598" s="183" t="s">
        <v>5272</v>
      </c>
      <c r="B4598" s="183" t="s">
        <v>5267</v>
      </c>
      <c r="C4598">
        <v>8800322950869</v>
      </c>
      <c r="D4598">
        <v>489</v>
      </c>
      <c r="E4598">
        <v>0</v>
      </c>
      <c r="F4598">
        <v>0</v>
      </c>
      <c r="G4598">
        <v>0</v>
      </c>
      <c r="H4598">
        <v>489</v>
      </c>
      <c r="I4598" s="183" t="s">
        <v>5247</v>
      </c>
      <c r="J4598" s="183" t="s">
        <v>12063</v>
      </c>
      <c r="K4598">
        <v>0</v>
      </c>
      <c r="L4598">
        <v>489</v>
      </c>
    </row>
    <row r="4599" spans="1:12">
      <c r="A4599" s="183" t="s">
        <v>5628</v>
      </c>
      <c r="B4599" s="183" t="s">
        <v>5296</v>
      </c>
      <c r="C4599">
        <v>8800322949368</v>
      </c>
      <c r="D4599">
        <v>50</v>
      </c>
      <c r="E4599">
        <v>0</v>
      </c>
      <c r="F4599">
        <v>0</v>
      </c>
      <c r="G4599">
        <v>0</v>
      </c>
      <c r="H4599">
        <v>50</v>
      </c>
      <c r="I4599" s="183" t="s">
        <v>5247</v>
      </c>
      <c r="J4599" s="183" t="s">
        <v>12087</v>
      </c>
      <c r="K4599">
        <v>0</v>
      </c>
      <c r="L4599">
        <v>50</v>
      </c>
    </row>
    <row r="4600" spans="1:12">
      <c r="A4600" s="183" t="s">
        <v>5629</v>
      </c>
      <c r="B4600" s="183" t="s">
        <v>5296</v>
      </c>
      <c r="C4600">
        <v>8800322950371</v>
      </c>
      <c r="D4600">
        <v>50</v>
      </c>
      <c r="E4600">
        <v>0</v>
      </c>
      <c r="F4600">
        <v>0</v>
      </c>
      <c r="G4600">
        <v>0</v>
      </c>
      <c r="H4600">
        <v>50</v>
      </c>
      <c r="I4600" s="183" t="s">
        <v>5247</v>
      </c>
      <c r="J4600" s="183" t="s">
        <v>12048</v>
      </c>
      <c r="K4600">
        <v>0</v>
      </c>
      <c r="L4600">
        <v>50</v>
      </c>
    </row>
    <row r="4601" spans="1:12">
      <c r="A4601" s="183" t="s">
        <v>5630</v>
      </c>
      <c r="B4601" s="183" t="s">
        <v>5296</v>
      </c>
      <c r="C4601">
        <v>8800322947876</v>
      </c>
      <c r="D4601">
        <v>50</v>
      </c>
      <c r="E4601">
        <v>0</v>
      </c>
      <c r="F4601">
        <v>0</v>
      </c>
      <c r="G4601">
        <v>0</v>
      </c>
      <c r="H4601">
        <v>50</v>
      </c>
      <c r="I4601" s="183" t="s">
        <v>5247</v>
      </c>
      <c r="J4601" s="183" t="s">
        <v>12095</v>
      </c>
      <c r="K4601">
        <v>0</v>
      </c>
      <c r="L4601">
        <v>50</v>
      </c>
    </row>
    <row r="4602" spans="1:12">
      <c r="A4602" s="183" t="s">
        <v>5631</v>
      </c>
      <c r="B4602" s="183" t="s">
        <v>5296</v>
      </c>
      <c r="C4602">
        <v>8800322950135</v>
      </c>
      <c r="D4602">
        <v>50</v>
      </c>
      <c r="E4602">
        <v>0</v>
      </c>
      <c r="F4602">
        <v>0</v>
      </c>
      <c r="G4602">
        <v>0</v>
      </c>
      <c r="H4602">
        <v>50</v>
      </c>
      <c r="I4602" s="183" t="s">
        <v>5247</v>
      </c>
      <c r="J4602" s="183" t="s">
        <v>12063</v>
      </c>
      <c r="K4602">
        <v>0</v>
      </c>
      <c r="L4602">
        <v>50</v>
      </c>
    </row>
    <row r="4603" spans="1:12">
      <c r="A4603" s="183" t="s">
        <v>5632</v>
      </c>
      <c r="B4603" s="183" t="s">
        <v>5296</v>
      </c>
      <c r="C4603">
        <v>8800322947371</v>
      </c>
      <c r="D4603">
        <v>48</v>
      </c>
      <c r="E4603">
        <v>0</v>
      </c>
      <c r="F4603">
        <v>0</v>
      </c>
      <c r="G4603">
        <v>0</v>
      </c>
      <c r="H4603">
        <v>48</v>
      </c>
      <c r="I4603" s="183" t="s">
        <v>5247</v>
      </c>
      <c r="J4603" s="183" t="s">
        <v>12057</v>
      </c>
      <c r="K4603">
        <v>0</v>
      </c>
      <c r="L4603">
        <v>48</v>
      </c>
    </row>
    <row r="4604" spans="1:12">
      <c r="A4604" s="183" t="s">
        <v>5633</v>
      </c>
      <c r="B4604" s="183" t="s">
        <v>5296</v>
      </c>
      <c r="C4604">
        <v>8800322950388</v>
      </c>
      <c r="D4604">
        <v>48</v>
      </c>
      <c r="E4604">
        <v>0</v>
      </c>
      <c r="F4604">
        <v>0</v>
      </c>
      <c r="G4604">
        <v>0</v>
      </c>
      <c r="H4604">
        <v>48</v>
      </c>
      <c r="I4604" s="183" t="s">
        <v>5247</v>
      </c>
      <c r="J4604" s="183" t="s">
        <v>12050</v>
      </c>
      <c r="K4604">
        <v>0</v>
      </c>
      <c r="L4604">
        <v>48</v>
      </c>
    </row>
    <row r="4605" spans="1:12">
      <c r="A4605" s="183" t="s">
        <v>5273</v>
      </c>
      <c r="B4605" s="183" t="s">
        <v>5274</v>
      </c>
      <c r="C4605">
        <v>8800322949887</v>
      </c>
      <c r="D4605">
        <v>49</v>
      </c>
      <c r="E4605">
        <v>0</v>
      </c>
      <c r="F4605">
        <v>0</v>
      </c>
      <c r="G4605">
        <v>0</v>
      </c>
      <c r="H4605">
        <v>49</v>
      </c>
      <c r="I4605" s="183" t="s">
        <v>5247</v>
      </c>
      <c r="J4605" s="183" t="s">
        <v>12095</v>
      </c>
      <c r="K4605">
        <v>0</v>
      </c>
      <c r="L4605">
        <v>49</v>
      </c>
    </row>
    <row r="4606" spans="1:12">
      <c r="A4606" s="183" t="s">
        <v>5275</v>
      </c>
      <c r="B4606" s="183" t="s">
        <v>5274</v>
      </c>
      <c r="C4606">
        <v>8800322947883</v>
      </c>
      <c r="D4606">
        <v>50</v>
      </c>
      <c r="E4606">
        <v>0</v>
      </c>
      <c r="F4606">
        <v>0</v>
      </c>
      <c r="G4606">
        <v>0</v>
      </c>
      <c r="H4606">
        <v>50</v>
      </c>
      <c r="I4606" s="183" t="s">
        <v>5247</v>
      </c>
      <c r="J4606" s="183" t="s">
        <v>12087</v>
      </c>
      <c r="K4606">
        <v>0</v>
      </c>
      <c r="L4606">
        <v>50</v>
      </c>
    </row>
    <row r="4607" spans="1:12">
      <c r="A4607" s="183" t="s">
        <v>5634</v>
      </c>
      <c r="B4607" s="183" t="s">
        <v>5274</v>
      </c>
      <c r="C4607">
        <v>8800322947395</v>
      </c>
      <c r="D4607">
        <v>50</v>
      </c>
      <c r="E4607">
        <v>0</v>
      </c>
      <c r="F4607">
        <v>0</v>
      </c>
      <c r="G4607">
        <v>0</v>
      </c>
      <c r="H4607">
        <v>50</v>
      </c>
      <c r="I4607" s="183" t="s">
        <v>5247</v>
      </c>
      <c r="J4607" s="183" t="s">
        <v>12055</v>
      </c>
      <c r="K4607">
        <v>0</v>
      </c>
      <c r="L4607">
        <v>50</v>
      </c>
    </row>
    <row r="4608" spans="1:12">
      <c r="A4608" s="183" t="s">
        <v>5793</v>
      </c>
      <c r="B4608" s="183" t="s">
        <v>5302</v>
      </c>
      <c r="C4608">
        <v>8800322950425</v>
      </c>
      <c r="D4608">
        <v>50</v>
      </c>
      <c r="E4608">
        <v>0</v>
      </c>
      <c r="F4608">
        <v>0</v>
      </c>
      <c r="G4608">
        <v>0</v>
      </c>
      <c r="H4608">
        <v>50</v>
      </c>
      <c r="I4608" s="183" t="s">
        <v>5247</v>
      </c>
      <c r="J4608" s="183" t="s">
        <v>12085</v>
      </c>
      <c r="K4608">
        <v>0</v>
      </c>
      <c r="L4608">
        <v>50</v>
      </c>
    </row>
    <row r="4609" spans="1:12">
      <c r="A4609" s="183" t="s">
        <v>5635</v>
      </c>
      <c r="B4609" s="183" t="s">
        <v>5277</v>
      </c>
      <c r="C4609">
        <v>8800322950180</v>
      </c>
      <c r="D4609">
        <v>50</v>
      </c>
      <c r="E4609">
        <v>0</v>
      </c>
      <c r="F4609">
        <v>0</v>
      </c>
      <c r="G4609">
        <v>0</v>
      </c>
      <c r="H4609">
        <v>50</v>
      </c>
      <c r="I4609" s="183" t="s">
        <v>5247</v>
      </c>
      <c r="J4609" s="183" t="s">
        <v>12094</v>
      </c>
      <c r="K4609">
        <v>0</v>
      </c>
      <c r="L4609">
        <v>50</v>
      </c>
    </row>
    <row r="4610" spans="1:12">
      <c r="A4610" s="183" t="s">
        <v>5636</v>
      </c>
      <c r="B4610" s="183" t="s">
        <v>5277</v>
      </c>
      <c r="C4610">
        <v>8800322947425</v>
      </c>
      <c r="D4610">
        <v>50</v>
      </c>
      <c r="E4610">
        <v>0</v>
      </c>
      <c r="F4610">
        <v>0</v>
      </c>
      <c r="G4610">
        <v>0</v>
      </c>
      <c r="H4610">
        <v>50</v>
      </c>
      <c r="I4610" s="183" t="s">
        <v>5247</v>
      </c>
      <c r="J4610" s="183" t="s">
        <v>12050</v>
      </c>
      <c r="K4610">
        <v>0</v>
      </c>
      <c r="L4610">
        <v>50</v>
      </c>
    </row>
    <row r="4611" spans="1:12">
      <c r="A4611" s="183" t="s">
        <v>5637</v>
      </c>
      <c r="B4611" s="183" t="s">
        <v>5277</v>
      </c>
      <c r="C4611">
        <v>8800322948170</v>
      </c>
      <c r="D4611">
        <v>50</v>
      </c>
      <c r="E4611">
        <v>0</v>
      </c>
      <c r="F4611">
        <v>0</v>
      </c>
      <c r="G4611">
        <v>0</v>
      </c>
      <c r="H4611">
        <v>50</v>
      </c>
      <c r="I4611" s="183" t="s">
        <v>5247</v>
      </c>
      <c r="J4611" s="183" t="s">
        <v>12050</v>
      </c>
      <c r="K4611">
        <v>0</v>
      </c>
      <c r="L4611">
        <v>50</v>
      </c>
    </row>
    <row r="4612" spans="1:12">
      <c r="A4612" s="183" t="s">
        <v>5794</v>
      </c>
      <c r="B4612" s="183" t="s">
        <v>5277</v>
      </c>
      <c r="C4612">
        <v>8800322950432</v>
      </c>
      <c r="D4612">
        <v>50</v>
      </c>
      <c r="E4612">
        <v>0</v>
      </c>
      <c r="F4612">
        <v>0</v>
      </c>
      <c r="G4612">
        <v>0</v>
      </c>
      <c r="H4612">
        <v>50</v>
      </c>
      <c r="I4612" s="183" t="s">
        <v>5247</v>
      </c>
      <c r="J4612" s="183" t="s">
        <v>12094</v>
      </c>
      <c r="K4612">
        <v>0</v>
      </c>
      <c r="L4612">
        <v>50</v>
      </c>
    </row>
    <row r="4613" spans="1:12">
      <c r="A4613" s="183" t="s">
        <v>5276</v>
      </c>
      <c r="B4613" s="183" t="s">
        <v>5277</v>
      </c>
      <c r="C4613">
        <v>8800322946930</v>
      </c>
      <c r="D4613">
        <v>46</v>
      </c>
      <c r="E4613">
        <v>0</v>
      </c>
      <c r="F4613">
        <v>0</v>
      </c>
      <c r="G4613">
        <v>0</v>
      </c>
      <c r="H4613">
        <v>46</v>
      </c>
      <c r="I4613" s="183" t="s">
        <v>5247</v>
      </c>
      <c r="J4613" s="183" t="s">
        <v>12055</v>
      </c>
      <c r="K4613">
        <v>0</v>
      </c>
      <c r="L4613">
        <v>46</v>
      </c>
    </row>
    <row r="4614" spans="1:12">
      <c r="A4614" s="183" t="s">
        <v>5278</v>
      </c>
      <c r="B4614" s="183" t="s">
        <v>5277</v>
      </c>
      <c r="C4614">
        <v>8800322949184</v>
      </c>
      <c r="D4614">
        <v>50</v>
      </c>
      <c r="E4614">
        <v>0</v>
      </c>
      <c r="F4614">
        <v>0</v>
      </c>
      <c r="G4614">
        <v>0</v>
      </c>
      <c r="H4614">
        <v>50</v>
      </c>
      <c r="I4614" s="183" t="s">
        <v>5247</v>
      </c>
      <c r="J4614" s="183" t="s">
        <v>12095</v>
      </c>
      <c r="K4614">
        <v>0</v>
      </c>
      <c r="L4614">
        <v>50</v>
      </c>
    </row>
    <row r="4615" spans="1:12">
      <c r="A4615" s="183" t="s">
        <v>5638</v>
      </c>
      <c r="B4615" s="183" t="s">
        <v>5277</v>
      </c>
      <c r="C4615">
        <v>8800322947180</v>
      </c>
      <c r="D4615">
        <v>10</v>
      </c>
      <c r="E4615">
        <v>0</v>
      </c>
      <c r="F4615">
        <v>0</v>
      </c>
      <c r="G4615">
        <v>0</v>
      </c>
      <c r="H4615">
        <v>10</v>
      </c>
      <c r="I4615" s="183" t="s">
        <v>5247</v>
      </c>
      <c r="J4615" s="183" t="s">
        <v>12061</v>
      </c>
      <c r="K4615">
        <v>0</v>
      </c>
      <c r="L4615">
        <v>10</v>
      </c>
    </row>
    <row r="4616" spans="1:12">
      <c r="A4616" s="183" t="s">
        <v>5639</v>
      </c>
      <c r="B4616" s="183" t="s">
        <v>5308</v>
      </c>
      <c r="C4616">
        <v>8800322947449</v>
      </c>
      <c r="D4616">
        <v>50</v>
      </c>
      <c r="E4616">
        <v>0</v>
      </c>
      <c r="F4616">
        <v>0</v>
      </c>
      <c r="G4616">
        <v>0</v>
      </c>
      <c r="H4616">
        <v>50</v>
      </c>
      <c r="I4616" s="183" t="s">
        <v>5247</v>
      </c>
      <c r="J4616" s="183" t="s">
        <v>12063</v>
      </c>
      <c r="K4616">
        <v>0</v>
      </c>
      <c r="L4616">
        <v>50</v>
      </c>
    </row>
    <row r="4617" spans="1:12">
      <c r="A4617" s="183" t="s">
        <v>5795</v>
      </c>
      <c r="B4617" s="183" t="s">
        <v>5308</v>
      </c>
      <c r="C4617">
        <v>8800322948941</v>
      </c>
      <c r="D4617">
        <v>50</v>
      </c>
      <c r="E4617">
        <v>0</v>
      </c>
      <c r="F4617">
        <v>0</v>
      </c>
      <c r="G4617">
        <v>0</v>
      </c>
      <c r="H4617">
        <v>50</v>
      </c>
      <c r="I4617" s="183" t="s">
        <v>5247</v>
      </c>
      <c r="J4617" s="183" t="s">
        <v>12087</v>
      </c>
      <c r="K4617">
        <v>0</v>
      </c>
      <c r="L4617">
        <v>50</v>
      </c>
    </row>
    <row r="4618" spans="1:12">
      <c r="A4618" s="183" t="s">
        <v>3843</v>
      </c>
      <c r="B4618" s="183" t="s">
        <v>1039</v>
      </c>
      <c r="C4618">
        <v>8809867716350</v>
      </c>
      <c r="D4618">
        <v>66</v>
      </c>
      <c r="E4618">
        <v>0</v>
      </c>
      <c r="F4618">
        <v>0</v>
      </c>
      <c r="G4618">
        <v>0</v>
      </c>
      <c r="H4618">
        <v>66</v>
      </c>
      <c r="I4618" s="183" t="s">
        <v>1040</v>
      </c>
      <c r="J4618" s="183" t="s">
        <v>12094</v>
      </c>
      <c r="K4618">
        <v>0</v>
      </c>
      <c r="L4618">
        <v>66</v>
      </c>
    </row>
    <row r="4619" spans="1:12">
      <c r="A4619" s="183" t="s">
        <v>860</v>
      </c>
      <c r="B4619" s="183" t="s">
        <v>1039</v>
      </c>
      <c r="C4619">
        <v>8809867716558</v>
      </c>
      <c r="D4619">
        <v>930</v>
      </c>
      <c r="E4619">
        <v>0</v>
      </c>
      <c r="F4619">
        <v>0</v>
      </c>
      <c r="G4619">
        <v>0</v>
      </c>
      <c r="H4619">
        <v>930</v>
      </c>
      <c r="I4619" s="183" t="s">
        <v>1040</v>
      </c>
      <c r="J4619" s="183" t="s">
        <v>12091</v>
      </c>
      <c r="K4619">
        <v>0</v>
      </c>
      <c r="L4619">
        <v>930</v>
      </c>
    </row>
    <row r="4620" spans="1:12">
      <c r="A4620" s="183" t="s">
        <v>893</v>
      </c>
      <c r="B4620" s="183" t="s">
        <v>1039</v>
      </c>
      <c r="C4620">
        <v>8809867716602</v>
      </c>
      <c r="D4620" s="501">
        <v>1037</v>
      </c>
      <c r="E4620">
        <v>0</v>
      </c>
      <c r="F4620">
        <v>0</v>
      </c>
      <c r="G4620">
        <v>0</v>
      </c>
      <c r="H4620" s="501">
        <v>1037</v>
      </c>
      <c r="I4620" s="183" t="s">
        <v>1040</v>
      </c>
      <c r="J4620" s="183" t="s">
        <v>12053</v>
      </c>
      <c r="K4620">
        <v>0</v>
      </c>
      <c r="L4620" s="501">
        <v>1037</v>
      </c>
    </row>
    <row r="4621" spans="1:12">
      <c r="A4621" s="183" t="s">
        <v>3948</v>
      </c>
      <c r="B4621" s="183" t="s">
        <v>1039</v>
      </c>
      <c r="C4621">
        <v>8809867716749</v>
      </c>
      <c r="D4621">
        <v>290</v>
      </c>
      <c r="E4621">
        <v>0</v>
      </c>
      <c r="F4621">
        <v>0</v>
      </c>
      <c r="G4621">
        <v>0</v>
      </c>
      <c r="H4621">
        <v>290</v>
      </c>
      <c r="I4621" s="183" t="s">
        <v>1040</v>
      </c>
      <c r="J4621" s="183" t="s">
        <v>12048</v>
      </c>
      <c r="K4621">
        <v>0</v>
      </c>
      <c r="L4621">
        <v>290</v>
      </c>
    </row>
    <row r="4622" spans="1:12">
      <c r="A4622" s="183" t="s">
        <v>3844</v>
      </c>
      <c r="B4622" s="183" t="s">
        <v>1039</v>
      </c>
      <c r="C4622">
        <v>8809867716800</v>
      </c>
      <c r="D4622">
        <v>166</v>
      </c>
      <c r="E4622">
        <v>0</v>
      </c>
      <c r="F4622">
        <v>0</v>
      </c>
      <c r="G4622">
        <v>0</v>
      </c>
      <c r="H4622">
        <v>166</v>
      </c>
      <c r="I4622" s="183" t="s">
        <v>1040</v>
      </c>
      <c r="J4622" s="183" t="s">
        <v>12063</v>
      </c>
      <c r="K4622">
        <v>0</v>
      </c>
      <c r="L4622">
        <v>166</v>
      </c>
    </row>
    <row r="4623" spans="1:12">
      <c r="A4623" s="183" t="s">
        <v>3507</v>
      </c>
      <c r="B4623" s="183" t="s">
        <v>1039</v>
      </c>
      <c r="C4623">
        <v>8809867716817</v>
      </c>
      <c r="D4623">
        <v>490</v>
      </c>
      <c r="E4623">
        <v>0</v>
      </c>
      <c r="F4623">
        <v>0</v>
      </c>
      <c r="G4623">
        <v>0</v>
      </c>
      <c r="H4623">
        <v>490</v>
      </c>
      <c r="I4623" s="183" t="s">
        <v>1040</v>
      </c>
      <c r="J4623" s="183" t="s">
        <v>12063</v>
      </c>
      <c r="K4623">
        <v>0</v>
      </c>
      <c r="L4623">
        <v>490</v>
      </c>
    </row>
    <row r="4624" spans="1:12">
      <c r="A4624" s="183" t="s">
        <v>3788</v>
      </c>
      <c r="B4624" s="183" t="s">
        <v>1039</v>
      </c>
      <c r="C4624">
        <v>8809867716862</v>
      </c>
      <c r="D4624">
        <v>950</v>
      </c>
      <c r="E4624">
        <v>0</v>
      </c>
      <c r="F4624">
        <v>0</v>
      </c>
      <c r="G4624">
        <v>0</v>
      </c>
      <c r="H4624">
        <v>950</v>
      </c>
      <c r="I4624" s="183" t="s">
        <v>1040</v>
      </c>
      <c r="J4624" s="183" t="s">
        <v>12087</v>
      </c>
      <c r="K4624">
        <v>0</v>
      </c>
      <c r="L4624">
        <v>950</v>
      </c>
    </row>
    <row r="4625" spans="1:12">
      <c r="A4625" s="183" t="s">
        <v>2302</v>
      </c>
      <c r="B4625" s="183" t="s">
        <v>1039</v>
      </c>
      <c r="C4625">
        <v>8809867717081</v>
      </c>
      <c r="D4625">
        <v>308</v>
      </c>
      <c r="E4625">
        <v>0</v>
      </c>
      <c r="F4625">
        <v>0</v>
      </c>
      <c r="G4625">
        <v>0</v>
      </c>
      <c r="H4625">
        <v>308</v>
      </c>
      <c r="I4625" s="183" t="s">
        <v>1040</v>
      </c>
      <c r="J4625" s="183" t="s">
        <v>12059</v>
      </c>
      <c r="K4625">
        <v>0</v>
      </c>
      <c r="L4625">
        <v>308</v>
      </c>
    </row>
    <row r="4626" spans="1:12">
      <c r="A4626" s="183" t="s">
        <v>5696</v>
      </c>
      <c r="B4626" s="183" t="s">
        <v>1039</v>
      </c>
      <c r="C4626">
        <v>8809867717104</v>
      </c>
      <c r="D4626">
        <v>266</v>
      </c>
      <c r="E4626">
        <v>0</v>
      </c>
      <c r="F4626">
        <v>0</v>
      </c>
      <c r="G4626">
        <v>0</v>
      </c>
      <c r="H4626">
        <v>266</v>
      </c>
      <c r="I4626" s="183" t="s">
        <v>1040</v>
      </c>
      <c r="J4626" s="183" t="s">
        <v>12092</v>
      </c>
      <c r="K4626">
        <v>0</v>
      </c>
      <c r="L4626">
        <v>266</v>
      </c>
    </row>
    <row r="4627" spans="1:12">
      <c r="A4627" s="183" t="s">
        <v>5796</v>
      </c>
      <c r="B4627" s="183" t="s">
        <v>1039</v>
      </c>
      <c r="C4627">
        <v>8809867717166</v>
      </c>
      <c r="D4627">
        <v>91</v>
      </c>
      <c r="E4627">
        <v>0</v>
      </c>
      <c r="F4627">
        <v>0</v>
      </c>
      <c r="G4627">
        <v>0</v>
      </c>
      <c r="H4627">
        <v>91</v>
      </c>
      <c r="I4627" s="183" t="s">
        <v>1040</v>
      </c>
      <c r="J4627" s="183" t="s">
        <v>12060</v>
      </c>
      <c r="K4627">
        <v>0</v>
      </c>
      <c r="L4627">
        <v>91</v>
      </c>
    </row>
    <row r="4628" spans="1:12">
      <c r="A4628" s="183" t="s">
        <v>957</v>
      </c>
      <c r="B4628" s="183" t="s">
        <v>927</v>
      </c>
      <c r="C4628">
        <v>8809867717319</v>
      </c>
      <c r="D4628" s="501">
        <v>1159</v>
      </c>
      <c r="E4628">
        <v>0</v>
      </c>
      <c r="F4628">
        <v>0</v>
      </c>
      <c r="G4628">
        <v>0</v>
      </c>
      <c r="H4628" s="501">
        <v>1159</v>
      </c>
      <c r="I4628" s="183" t="s">
        <v>1021</v>
      </c>
      <c r="J4628" s="183" t="s">
        <v>12063</v>
      </c>
      <c r="K4628">
        <v>0</v>
      </c>
      <c r="L4628" s="501">
        <v>1159</v>
      </c>
    </row>
    <row r="4629" spans="1:12">
      <c r="A4629" s="183" t="s">
        <v>910</v>
      </c>
      <c r="B4629" s="183" t="s">
        <v>927</v>
      </c>
      <c r="C4629">
        <v>8809867717326</v>
      </c>
      <c r="D4629" s="501">
        <v>1291</v>
      </c>
      <c r="E4629">
        <v>0</v>
      </c>
      <c r="F4629">
        <v>0</v>
      </c>
      <c r="G4629">
        <v>0</v>
      </c>
      <c r="H4629" s="501">
        <v>1291</v>
      </c>
      <c r="I4629" s="183" t="s">
        <v>1021</v>
      </c>
      <c r="J4629" s="183" t="s">
        <v>12087</v>
      </c>
      <c r="K4629">
        <v>0</v>
      </c>
      <c r="L4629" s="501">
        <v>1291</v>
      </c>
    </row>
    <row r="4630" spans="1:12">
      <c r="A4630" s="183" t="s">
        <v>958</v>
      </c>
      <c r="B4630" s="183" t="s">
        <v>927</v>
      </c>
      <c r="C4630">
        <v>8809867717340</v>
      </c>
      <c r="D4630" s="501">
        <v>1389</v>
      </c>
      <c r="E4630">
        <v>0</v>
      </c>
      <c r="F4630">
        <v>0</v>
      </c>
      <c r="G4630">
        <v>0</v>
      </c>
      <c r="H4630" s="501">
        <v>1389</v>
      </c>
      <c r="I4630" s="183" t="s">
        <v>1021</v>
      </c>
      <c r="J4630" s="183" t="s">
        <v>12094</v>
      </c>
      <c r="K4630">
        <v>0</v>
      </c>
      <c r="L4630" s="501">
        <v>1389</v>
      </c>
    </row>
    <row r="4631" spans="1:12">
      <c r="A4631" s="183" t="s">
        <v>934</v>
      </c>
      <c r="B4631" s="183" t="s">
        <v>927</v>
      </c>
      <c r="C4631">
        <v>8809867717364</v>
      </c>
      <c r="D4631" s="501">
        <v>1141</v>
      </c>
      <c r="E4631">
        <v>0</v>
      </c>
      <c r="F4631">
        <v>0</v>
      </c>
      <c r="G4631">
        <v>0</v>
      </c>
      <c r="H4631" s="501">
        <v>1141</v>
      </c>
      <c r="I4631" s="183" t="s">
        <v>1021</v>
      </c>
      <c r="J4631" s="183" t="s">
        <v>12063</v>
      </c>
      <c r="K4631">
        <v>0</v>
      </c>
      <c r="L4631" s="501">
        <v>1141</v>
      </c>
    </row>
    <row r="4632" spans="1:12">
      <c r="A4632" s="183" t="s">
        <v>912</v>
      </c>
      <c r="B4632" s="183" t="s">
        <v>927</v>
      </c>
      <c r="C4632">
        <v>8809867717388</v>
      </c>
      <c r="D4632" s="501">
        <v>1152</v>
      </c>
      <c r="E4632">
        <v>0</v>
      </c>
      <c r="F4632">
        <v>0</v>
      </c>
      <c r="G4632">
        <v>0</v>
      </c>
      <c r="H4632" s="501">
        <v>1152</v>
      </c>
      <c r="I4632" s="183" t="s">
        <v>1021</v>
      </c>
      <c r="J4632" s="183" t="s">
        <v>12085</v>
      </c>
      <c r="K4632">
        <v>0</v>
      </c>
      <c r="L4632" s="501">
        <v>1152</v>
      </c>
    </row>
    <row r="4633" spans="1:12">
      <c r="A4633" s="183" t="s">
        <v>916</v>
      </c>
      <c r="B4633" s="183" t="s">
        <v>927</v>
      </c>
      <c r="C4633">
        <v>8809867717500</v>
      </c>
      <c r="D4633" s="501">
        <v>1672</v>
      </c>
      <c r="E4633">
        <v>0</v>
      </c>
      <c r="F4633">
        <v>0</v>
      </c>
      <c r="G4633">
        <v>0</v>
      </c>
      <c r="H4633" s="501">
        <v>1672</v>
      </c>
      <c r="I4633" s="183" t="s">
        <v>1021</v>
      </c>
      <c r="J4633" s="183" t="s">
        <v>12063</v>
      </c>
      <c r="K4633">
        <v>0</v>
      </c>
      <c r="L4633" s="501">
        <v>1672</v>
      </c>
    </row>
    <row r="4634" spans="1:12">
      <c r="A4634" s="183" t="s">
        <v>964</v>
      </c>
      <c r="B4634" s="183" t="s">
        <v>927</v>
      </c>
      <c r="C4634">
        <v>8809867717524</v>
      </c>
      <c r="D4634">
        <v>754</v>
      </c>
      <c r="E4634">
        <v>0</v>
      </c>
      <c r="F4634">
        <v>0</v>
      </c>
      <c r="G4634">
        <v>0</v>
      </c>
      <c r="H4634">
        <v>754</v>
      </c>
      <c r="I4634" s="183" t="s">
        <v>1021</v>
      </c>
      <c r="J4634" s="183" t="s">
        <v>12066</v>
      </c>
      <c r="K4634">
        <v>0</v>
      </c>
      <c r="L4634">
        <v>754</v>
      </c>
    </row>
    <row r="4635" spans="1:12">
      <c r="A4635" s="183" t="s">
        <v>921</v>
      </c>
      <c r="B4635" s="183" t="s">
        <v>927</v>
      </c>
      <c r="C4635">
        <v>8809867717685</v>
      </c>
      <c r="D4635" s="501">
        <v>1127</v>
      </c>
      <c r="E4635">
        <v>0</v>
      </c>
      <c r="F4635">
        <v>0</v>
      </c>
      <c r="G4635">
        <v>0</v>
      </c>
      <c r="H4635" s="501">
        <v>1127</v>
      </c>
      <c r="I4635" s="183" t="s">
        <v>1021</v>
      </c>
      <c r="J4635" s="183" t="s">
        <v>12093</v>
      </c>
      <c r="K4635">
        <v>0</v>
      </c>
      <c r="L4635" s="501">
        <v>1127</v>
      </c>
    </row>
    <row r="4636" spans="1:12">
      <c r="A4636" s="183" t="s">
        <v>972</v>
      </c>
      <c r="B4636" s="183" t="s">
        <v>927</v>
      </c>
      <c r="C4636">
        <v>8809867717852</v>
      </c>
      <c r="D4636" s="501">
        <v>1579</v>
      </c>
      <c r="E4636">
        <v>0</v>
      </c>
      <c r="F4636">
        <v>0</v>
      </c>
      <c r="G4636">
        <v>0</v>
      </c>
      <c r="H4636" s="501">
        <v>1579</v>
      </c>
      <c r="I4636" s="183" t="s">
        <v>1021</v>
      </c>
      <c r="J4636" s="183" t="s">
        <v>12094</v>
      </c>
      <c r="K4636">
        <v>0</v>
      </c>
      <c r="L4636" s="501">
        <v>1579</v>
      </c>
    </row>
    <row r="4637" spans="1:12">
      <c r="A4637" s="183" t="s">
        <v>1219</v>
      </c>
      <c r="B4637" s="183" t="s">
        <v>1006</v>
      </c>
      <c r="C4637">
        <v>8809867704722</v>
      </c>
      <c r="D4637">
        <v>17</v>
      </c>
      <c r="E4637">
        <v>0</v>
      </c>
      <c r="F4637">
        <v>0</v>
      </c>
      <c r="G4637">
        <v>0</v>
      </c>
      <c r="H4637">
        <v>17</v>
      </c>
      <c r="I4637" s="183" t="s">
        <v>1007</v>
      </c>
      <c r="J4637" s="183" t="s">
        <v>12094</v>
      </c>
      <c r="K4637">
        <v>0</v>
      </c>
      <c r="L4637">
        <v>17</v>
      </c>
    </row>
    <row r="4638" spans="1:12">
      <c r="A4638" s="183" t="s">
        <v>1312</v>
      </c>
      <c r="B4638" s="183" t="s">
        <v>1042</v>
      </c>
      <c r="C4638">
        <v>8809867704821</v>
      </c>
      <c r="D4638">
        <v>61</v>
      </c>
      <c r="E4638">
        <v>0</v>
      </c>
      <c r="F4638">
        <v>0</v>
      </c>
      <c r="G4638">
        <v>0</v>
      </c>
      <c r="H4638">
        <v>61</v>
      </c>
      <c r="I4638" s="183" t="s">
        <v>1043</v>
      </c>
      <c r="J4638" s="183" t="s">
        <v>12053</v>
      </c>
      <c r="K4638">
        <v>0</v>
      </c>
      <c r="L4638">
        <v>61</v>
      </c>
    </row>
    <row r="4639" spans="1:12">
      <c r="A4639" s="183" t="s">
        <v>1477</v>
      </c>
      <c r="B4639" s="183" t="s">
        <v>1042</v>
      </c>
      <c r="C4639">
        <v>8809867704845</v>
      </c>
      <c r="D4639">
        <v>27</v>
      </c>
      <c r="E4639">
        <v>0</v>
      </c>
      <c r="F4639">
        <v>0</v>
      </c>
      <c r="G4639">
        <v>0</v>
      </c>
      <c r="H4639">
        <v>27</v>
      </c>
      <c r="I4639" s="183" t="s">
        <v>1043</v>
      </c>
      <c r="J4639" s="183" t="s">
        <v>12092</v>
      </c>
      <c r="K4639">
        <v>0</v>
      </c>
      <c r="L4639">
        <v>27</v>
      </c>
    </row>
    <row r="4640" spans="1:12">
      <c r="A4640" s="183" t="s">
        <v>1473</v>
      </c>
      <c r="B4640" s="183" t="s">
        <v>1042</v>
      </c>
      <c r="C4640">
        <v>8809867704883</v>
      </c>
      <c r="D4640">
        <v>50</v>
      </c>
      <c r="E4640">
        <v>0</v>
      </c>
      <c r="F4640">
        <v>0</v>
      </c>
      <c r="G4640">
        <v>0</v>
      </c>
      <c r="H4640">
        <v>50</v>
      </c>
      <c r="I4640" s="183" t="s">
        <v>1043</v>
      </c>
      <c r="J4640" s="183" t="s">
        <v>12067</v>
      </c>
      <c r="K4640">
        <v>0</v>
      </c>
      <c r="L4640">
        <v>50</v>
      </c>
    </row>
    <row r="4641" spans="1:12">
      <c r="A4641" s="183" t="s">
        <v>1660</v>
      </c>
      <c r="B4641" s="183" t="s">
        <v>1178</v>
      </c>
      <c r="C4641">
        <v>8809867705088</v>
      </c>
      <c r="D4641">
        <v>146</v>
      </c>
      <c r="E4641">
        <v>0</v>
      </c>
      <c r="F4641">
        <v>0</v>
      </c>
      <c r="G4641">
        <v>0</v>
      </c>
      <c r="H4641">
        <v>146</v>
      </c>
      <c r="I4641" s="183" t="s">
        <v>1179</v>
      </c>
      <c r="J4641" s="183" t="s">
        <v>12091</v>
      </c>
      <c r="K4641">
        <v>0</v>
      </c>
      <c r="L4641">
        <v>146</v>
      </c>
    </row>
    <row r="4642" spans="1:12">
      <c r="A4642" s="183" t="s">
        <v>2150</v>
      </c>
      <c r="B4642" s="183" t="s">
        <v>1178</v>
      </c>
      <c r="C4642">
        <v>8809867705194</v>
      </c>
      <c r="D4642">
        <v>84</v>
      </c>
      <c r="E4642">
        <v>0</v>
      </c>
      <c r="F4642">
        <v>0</v>
      </c>
      <c r="G4642">
        <v>0</v>
      </c>
      <c r="H4642">
        <v>84</v>
      </c>
      <c r="I4642" s="183" t="s">
        <v>1179</v>
      </c>
      <c r="J4642" s="183" t="s">
        <v>12092</v>
      </c>
      <c r="K4642">
        <v>0</v>
      </c>
      <c r="L4642">
        <v>84</v>
      </c>
    </row>
    <row r="4643" spans="1:12">
      <c r="A4643" s="183" t="s">
        <v>2154</v>
      </c>
      <c r="B4643" s="183" t="s">
        <v>1420</v>
      </c>
      <c r="C4643">
        <v>8809867705408</v>
      </c>
      <c r="D4643">
        <v>89</v>
      </c>
      <c r="E4643">
        <v>0</v>
      </c>
      <c r="F4643">
        <v>0</v>
      </c>
      <c r="G4643">
        <v>0</v>
      </c>
      <c r="H4643">
        <v>89</v>
      </c>
      <c r="I4643" s="183" t="s">
        <v>1421</v>
      </c>
      <c r="J4643" s="183" t="s">
        <v>12067</v>
      </c>
      <c r="K4643">
        <v>0</v>
      </c>
      <c r="L4643">
        <v>89</v>
      </c>
    </row>
    <row r="4644" spans="1:12">
      <c r="A4644" s="183" t="s">
        <v>1986</v>
      </c>
      <c r="B4644" s="183" t="s">
        <v>1420</v>
      </c>
      <c r="C4644">
        <v>8809867705415</v>
      </c>
      <c r="D4644">
        <v>59</v>
      </c>
      <c r="E4644">
        <v>0</v>
      </c>
      <c r="F4644">
        <v>0</v>
      </c>
      <c r="G4644">
        <v>0</v>
      </c>
      <c r="H4644">
        <v>59</v>
      </c>
      <c r="I4644" s="183" t="s">
        <v>1421</v>
      </c>
      <c r="J4644" s="183" t="s">
        <v>12053</v>
      </c>
      <c r="K4644">
        <v>0</v>
      </c>
      <c r="L4644">
        <v>59</v>
      </c>
    </row>
    <row r="4645" spans="1:12">
      <c r="A4645" s="183" t="s">
        <v>1648</v>
      </c>
      <c r="B4645" s="183" t="s">
        <v>1420</v>
      </c>
      <c r="C4645">
        <v>8809867705484</v>
      </c>
      <c r="D4645">
        <v>135</v>
      </c>
      <c r="E4645">
        <v>0</v>
      </c>
      <c r="F4645">
        <v>0</v>
      </c>
      <c r="G4645">
        <v>0</v>
      </c>
      <c r="H4645">
        <v>135</v>
      </c>
      <c r="I4645" s="183" t="s">
        <v>1421</v>
      </c>
      <c r="J4645" s="183" t="s">
        <v>12050</v>
      </c>
      <c r="K4645">
        <v>0</v>
      </c>
      <c r="L4645">
        <v>135</v>
      </c>
    </row>
    <row r="4646" spans="1:12">
      <c r="A4646" s="183" t="s">
        <v>3323</v>
      </c>
      <c r="B4646" s="183" t="s">
        <v>3324</v>
      </c>
      <c r="C4646">
        <v>8809959703954</v>
      </c>
      <c r="D4646">
        <v>72</v>
      </c>
      <c r="E4646">
        <v>0</v>
      </c>
      <c r="F4646">
        <v>0</v>
      </c>
      <c r="G4646">
        <v>0</v>
      </c>
      <c r="H4646">
        <v>72</v>
      </c>
      <c r="I4646" s="183" t="s">
        <v>3278</v>
      </c>
      <c r="J4646" s="183" t="s">
        <v>12067</v>
      </c>
      <c r="K4646">
        <v>0</v>
      </c>
      <c r="L4646">
        <v>72</v>
      </c>
    </row>
    <row r="4647" spans="1:12">
      <c r="A4647" s="183" t="s">
        <v>3303</v>
      </c>
      <c r="B4647" s="183" t="s">
        <v>3304</v>
      </c>
      <c r="C4647">
        <v>8809959704050</v>
      </c>
      <c r="D4647">
        <v>293</v>
      </c>
      <c r="E4647">
        <v>0</v>
      </c>
      <c r="F4647">
        <v>0</v>
      </c>
      <c r="G4647">
        <v>0</v>
      </c>
      <c r="H4647">
        <v>293</v>
      </c>
      <c r="I4647" s="183" t="s">
        <v>3278</v>
      </c>
      <c r="J4647" s="183" t="s">
        <v>12091</v>
      </c>
      <c r="K4647">
        <v>0</v>
      </c>
      <c r="L4647">
        <v>293</v>
      </c>
    </row>
    <row r="4648" spans="1:12">
      <c r="A4648" s="183" t="s">
        <v>3305</v>
      </c>
      <c r="B4648" s="183" t="s">
        <v>3306</v>
      </c>
      <c r="C4648">
        <v>8809959704081</v>
      </c>
      <c r="D4648">
        <v>577</v>
      </c>
      <c r="E4648">
        <v>0</v>
      </c>
      <c r="F4648">
        <v>0</v>
      </c>
      <c r="G4648">
        <v>0</v>
      </c>
      <c r="H4648">
        <v>577</v>
      </c>
      <c r="I4648" s="183" t="s">
        <v>3278</v>
      </c>
      <c r="J4648" s="183" t="s">
        <v>12053</v>
      </c>
      <c r="K4648">
        <v>0</v>
      </c>
      <c r="L4648">
        <v>577</v>
      </c>
    </row>
    <row r="4649" spans="1:12">
      <c r="A4649" s="183" t="s">
        <v>5053</v>
      </c>
      <c r="B4649" s="183" t="s">
        <v>5054</v>
      </c>
      <c r="C4649">
        <v>8809959704180</v>
      </c>
      <c r="D4649">
        <v>67</v>
      </c>
      <c r="E4649">
        <v>0</v>
      </c>
      <c r="F4649">
        <v>0</v>
      </c>
      <c r="G4649">
        <v>0</v>
      </c>
      <c r="H4649">
        <v>67</v>
      </c>
      <c r="I4649" s="183" t="s">
        <v>3235</v>
      </c>
      <c r="J4649" s="183" t="s">
        <v>12053</v>
      </c>
      <c r="K4649">
        <v>0</v>
      </c>
      <c r="L4649">
        <v>67</v>
      </c>
    </row>
    <row r="4650" spans="1:12">
      <c r="A4650" s="183" t="s">
        <v>5049</v>
      </c>
      <c r="B4650" s="183" t="s">
        <v>5050</v>
      </c>
      <c r="C4650">
        <v>8809959704197</v>
      </c>
      <c r="D4650">
        <v>155</v>
      </c>
      <c r="E4650">
        <v>0</v>
      </c>
      <c r="F4650">
        <v>0</v>
      </c>
      <c r="G4650">
        <v>0</v>
      </c>
      <c r="H4650">
        <v>155</v>
      </c>
      <c r="I4650" s="183" t="s">
        <v>3235</v>
      </c>
      <c r="J4650" s="183" t="s">
        <v>12093</v>
      </c>
      <c r="K4650">
        <v>0</v>
      </c>
      <c r="L4650">
        <v>155</v>
      </c>
    </row>
    <row r="4651" spans="1:12">
      <c r="A4651" s="183" t="s">
        <v>3254</v>
      </c>
      <c r="B4651" s="183" t="s">
        <v>3255</v>
      </c>
      <c r="C4651">
        <v>8809959704234</v>
      </c>
      <c r="D4651">
        <v>131</v>
      </c>
      <c r="E4651">
        <v>0</v>
      </c>
      <c r="F4651">
        <v>0</v>
      </c>
      <c r="G4651">
        <v>0</v>
      </c>
      <c r="H4651">
        <v>131</v>
      </c>
      <c r="I4651" s="183" t="s">
        <v>3235</v>
      </c>
      <c r="J4651" s="183" t="s">
        <v>12060</v>
      </c>
      <c r="K4651">
        <v>0</v>
      </c>
      <c r="L4651">
        <v>131</v>
      </c>
    </row>
    <row r="4652" spans="1:12">
      <c r="A4652" s="183" t="s">
        <v>3272</v>
      </c>
      <c r="B4652" s="183" t="s">
        <v>3273</v>
      </c>
      <c r="C4652">
        <v>8809959704265</v>
      </c>
      <c r="D4652">
        <v>65</v>
      </c>
      <c r="E4652">
        <v>0</v>
      </c>
      <c r="F4652">
        <v>0</v>
      </c>
      <c r="G4652">
        <v>0</v>
      </c>
      <c r="H4652">
        <v>65</v>
      </c>
      <c r="I4652" s="183" t="s">
        <v>3235</v>
      </c>
      <c r="J4652" s="183" t="s">
        <v>12091</v>
      </c>
      <c r="K4652">
        <v>0</v>
      </c>
      <c r="L4652">
        <v>65</v>
      </c>
    </row>
    <row r="4653" spans="1:12">
      <c r="A4653" s="183" t="s">
        <v>3256</v>
      </c>
      <c r="B4653" s="183" t="s">
        <v>3257</v>
      </c>
      <c r="C4653">
        <v>8809959704418</v>
      </c>
      <c r="D4653">
        <v>57</v>
      </c>
      <c r="E4653">
        <v>0</v>
      </c>
      <c r="F4653">
        <v>0</v>
      </c>
      <c r="G4653">
        <v>0</v>
      </c>
      <c r="H4653">
        <v>57</v>
      </c>
      <c r="I4653" s="183" t="s">
        <v>3235</v>
      </c>
      <c r="J4653" s="183" t="s">
        <v>12092</v>
      </c>
      <c r="K4653">
        <v>0</v>
      </c>
      <c r="L4653">
        <v>57</v>
      </c>
    </row>
    <row r="4654" spans="1:12">
      <c r="A4654" s="183" t="s">
        <v>1480</v>
      </c>
      <c r="B4654" s="183" t="s">
        <v>982</v>
      </c>
      <c r="C4654">
        <v>18800205</v>
      </c>
      <c r="D4654" s="501">
        <v>1100</v>
      </c>
      <c r="E4654">
        <v>0</v>
      </c>
      <c r="F4654">
        <v>0</v>
      </c>
      <c r="G4654">
        <v>0</v>
      </c>
      <c r="H4654" s="501">
        <v>1100</v>
      </c>
      <c r="I4654" s="183" t="s">
        <v>983</v>
      </c>
      <c r="J4654" s="183" t="s">
        <v>12053</v>
      </c>
      <c r="K4654">
        <v>0</v>
      </c>
      <c r="L4654" s="501">
        <v>1100</v>
      </c>
    </row>
    <row r="4655" spans="1:12">
      <c r="A4655" s="183" t="s">
        <v>1133</v>
      </c>
      <c r="B4655" s="183" t="s">
        <v>982</v>
      </c>
      <c r="C4655">
        <v>18800210</v>
      </c>
      <c r="D4655" s="501">
        <v>3080</v>
      </c>
      <c r="E4655">
        <v>0</v>
      </c>
      <c r="F4655">
        <v>0</v>
      </c>
      <c r="G4655">
        <v>0</v>
      </c>
      <c r="H4655" s="501">
        <v>3080</v>
      </c>
      <c r="I4655" s="183" t="s">
        <v>983</v>
      </c>
      <c r="J4655" s="183" t="s">
        <v>12081</v>
      </c>
      <c r="K4655">
        <v>0</v>
      </c>
      <c r="L4655" s="501">
        <v>3080</v>
      </c>
    </row>
    <row r="4656" spans="1:12">
      <c r="A4656" s="183" t="s">
        <v>3872</v>
      </c>
      <c r="B4656" s="183" t="s">
        <v>982</v>
      </c>
      <c r="C4656">
        <v>18800211</v>
      </c>
      <c r="D4656">
        <v>788</v>
      </c>
      <c r="E4656">
        <v>0</v>
      </c>
      <c r="F4656">
        <v>0</v>
      </c>
      <c r="G4656">
        <v>0</v>
      </c>
      <c r="H4656">
        <v>788</v>
      </c>
      <c r="I4656" s="183" t="s">
        <v>983</v>
      </c>
      <c r="J4656" s="183" t="s">
        <v>12094</v>
      </c>
      <c r="K4656">
        <v>0</v>
      </c>
      <c r="L4656">
        <v>788</v>
      </c>
    </row>
    <row r="4657" spans="1:12">
      <c r="A4657" s="183" t="s">
        <v>1217</v>
      </c>
      <c r="B4657" s="183" t="s">
        <v>1035</v>
      </c>
      <c r="C4657">
        <v>18810213</v>
      </c>
      <c r="D4657" s="501">
        <v>1640</v>
      </c>
      <c r="E4657">
        <v>0</v>
      </c>
      <c r="F4657">
        <v>0</v>
      </c>
      <c r="G4657">
        <v>0</v>
      </c>
      <c r="H4657" s="501">
        <v>1640</v>
      </c>
      <c r="I4657" s="183" t="s">
        <v>1036</v>
      </c>
      <c r="J4657" s="183" t="s">
        <v>12094</v>
      </c>
      <c r="K4657">
        <v>0</v>
      </c>
      <c r="L4657" s="501">
        <v>1640</v>
      </c>
    </row>
    <row r="4658" spans="1:12">
      <c r="A4658" s="183" t="s">
        <v>1314</v>
      </c>
      <c r="B4658" s="183" t="s">
        <v>1035</v>
      </c>
      <c r="C4658">
        <v>18810218</v>
      </c>
      <c r="D4658" s="501">
        <v>2235</v>
      </c>
      <c r="E4658">
        <v>0</v>
      </c>
      <c r="F4658">
        <v>0</v>
      </c>
      <c r="G4658">
        <v>0</v>
      </c>
      <c r="H4658" s="501">
        <v>2235</v>
      </c>
      <c r="I4658" s="183" t="s">
        <v>1036</v>
      </c>
      <c r="J4658" s="183" t="s">
        <v>12094</v>
      </c>
      <c r="K4658">
        <v>0</v>
      </c>
      <c r="L4658" s="501">
        <v>2235</v>
      </c>
    </row>
    <row r="4659" spans="1:12">
      <c r="A4659" s="183" t="s">
        <v>1313</v>
      </c>
      <c r="B4659" s="183" t="s">
        <v>1035</v>
      </c>
      <c r="C4659">
        <v>18810220</v>
      </c>
      <c r="D4659" s="501">
        <v>1181</v>
      </c>
      <c r="E4659">
        <v>0</v>
      </c>
      <c r="F4659">
        <v>0</v>
      </c>
      <c r="G4659">
        <v>0</v>
      </c>
      <c r="H4659" s="501">
        <v>1181</v>
      </c>
      <c r="I4659" s="183" t="s">
        <v>1036</v>
      </c>
      <c r="J4659" s="183" t="s">
        <v>12087</v>
      </c>
      <c r="K4659">
        <v>0</v>
      </c>
      <c r="L4659" s="501">
        <v>1181</v>
      </c>
    </row>
    <row r="4660" spans="1:12">
      <c r="A4660" s="183" t="s">
        <v>1472</v>
      </c>
      <c r="B4660" s="183" t="s">
        <v>1035</v>
      </c>
      <c r="C4660">
        <v>18810228</v>
      </c>
      <c r="D4660" s="501">
        <v>1046</v>
      </c>
      <c r="E4660">
        <v>0</v>
      </c>
      <c r="F4660">
        <v>0</v>
      </c>
      <c r="G4660">
        <v>0</v>
      </c>
      <c r="H4660" s="501">
        <v>1046</v>
      </c>
      <c r="I4660" s="183" t="s">
        <v>1036</v>
      </c>
      <c r="J4660" s="183" t="s">
        <v>12094</v>
      </c>
      <c r="K4660">
        <v>0</v>
      </c>
      <c r="L4660" s="501">
        <v>1046</v>
      </c>
    </row>
    <row r="4661" spans="1:12">
      <c r="A4661" s="183" t="s">
        <v>1483</v>
      </c>
      <c r="B4661" s="183" t="s">
        <v>1035</v>
      </c>
      <c r="C4661">
        <v>18810234</v>
      </c>
      <c r="D4661" s="501">
        <v>1569</v>
      </c>
      <c r="E4661">
        <v>0</v>
      </c>
      <c r="F4661">
        <v>0</v>
      </c>
      <c r="G4661">
        <v>0</v>
      </c>
      <c r="H4661" s="501">
        <v>1569</v>
      </c>
      <c r="I4661" s="183" t="s">
        <v>1036</v>
      </c>
      <c r="J4661" s="183" t="s">
        <v>12067</v>
      </c>
      <c r="K4661">
        <v>0</v>
      </c>
      <c r="L4661" s="501">
        <v>1569</v>
      </c>
    </row>
    <row r="4662" spans="1:12">
      <c r="A4662" s="183" t="s">
        <v>1214</v>
      </c>
      <c r="B4662" s="183" t="s">
        <v>1014</v>
      </c>
      <c r="C4662">
        <v>18820202</v>
      </c>
      <c r="D4662" s="501">
        <v>1272</v>
      </c>
      <c r="E4662">
        <v>0</v>
      </c>
      <c r="F4662">
        <v>0</v>
      </c>
      <c r="G4662">
        <v>0</v>
      </c>
      <c r="H4662" s="501">
        <v>1272</v>
      </c>
      <c r="I4662" s="183" t="s">
        <v>1015</v>
      </c>
      <c r="J4662" s="183" t="s">
        <v>12053</v>
      </c>
      <c r="K4662">
        <v>0</v>
      </c>
      <c r="L4662" s="501">
        <v>1272</v>
      </c>
    </row>
    <row r="4663" spans="1:12">
      <c r="A4663" s="183" t="s">
        <v>3572</v>
      </c>
      <c r="B4663" s="183" t="s">
        <v>1014</v>
      </c>
      <c r="C4663">
        <v>18820214</v>
      </c>
      <c r="D4663">
        <v>20</v>
      </c>
      <c r="E4663">
        <v>0</v>
      </c>
      <c r="F4663">
        <v>0</v>
      </c>
      <c r="G4663">
        <v>0</v>
      </c>
      <c r="H4663">
        <v>20</v>
      </c>
      <c r="I4663" s="183" t="s">
        <v>1015</v>
      </c>
      <c r="J4663" s="183" t="s">
        <v>12094</v>
      </c>
      <c r="K4663">
        <v>0</v>
      </c>
      <c r="L4663">
        <v>20</v>
      </c>
    </row>
    <row r="4664" spans="1:12">
      <c r="A4664" s="183" t="s">
        <v>1311</v>
      </c>
      <c r="B4664" s="183" t="s">
        <v>1014</v>
      </c>
      <c r="C4664">
        <v>18820218</v>
      </c>
      <c r="D4664">
        <v>423</v>
      </c>
      <c r="E4664">
        <v>0</v>
      </c>
      <c r="F4664">
        <v>0</v>
      </c>
      <c r="G4664">
        <v>0</v>
      </c>
      <c r="H4664">
        <v>423</v>
      </c>
      <c r="I4664" s="183" t="s">
        <v>1015</v>
      </c>
      <c r="J4664" s="183" t="s">
        <v>12091</v>
      </c>
      <c r="K4664">
        <v>0</v>
      </c>
      <c r="L4664">
        <v>423</v>
      </c>
    </row>
    <row r="4665" spans="1:12">
      <c r="A4665" s="183" t="s">
        <v>3578</v>
      </c>
      <c r="B4665" s="183" t="s">
        <v>1014</v>
      </c>
      <c r="C4665">
        <v>18820222</v>
      </c>
      <c r="D4665">
        <v>94</v>
      </c>
      <c r="E4665">
        <v>0</v>
      </c>
      <c r="F4665">
        <v>0</v>
      </c>
      <c r="G4665">
        <v>0</v>
      </c>
      <c r="H4665">
        <v>94</v>
      </c>
      <c r="I4665" s="183" t="s">
        <v>1015</v>
      </c>
      <c r="J4665" s="183" t="s">
        <v>12081</v>
      </c>
      <c r="K4665">
        <v>0</v>
      </c>
      <c r="L4665">
        <v>94</v>
      </c>
    </row>
    <row r="4666" spans="1:12">
      <c r="A4666" s="183" t="s">
        <v>1647</v>
      </c>
      <c r="B4666" s="183" t="s">
        <v>1206</v>
      </c>
      <c r="C4666">
        <v>18840216</v>
      </c>
      <c r="D4666" s="501">
        <v>3516</v>
      </c>
      <c r="E4666">
        <v>0</v>
      </c>
      <c r="F4666">
        <v>0</v>
      </c>
      <c r="G4666">
        <v>0</v>
      </c>
      <c r="H4666" s="501">
        <v>3516</v>
      </c>
      <c r="I4666" s="183" t="s">
        <v>1207</v>
      </c>
      <c r="J4666" s="183" t="s">
        <v>12091</v>
      </c>
      <c r="K4666">
        <v>0</v>
      </c>
      <c r="L4666" s="501">
        <v>3516</v>
      </c>
    </row>
    <row r="4667" spans="1:12">
      <c r="A4667" s="183" t="s">
        <v>2165</v>
      </c>
      <c r="B4667" s="183" t="s">
        <v>1206</v>
      </c>
      <c r="C4667">
        <v>18840217</v>
      </c>
      <c r="D4667" s="501">
        <v>3236</v>
      </c>
      <c r="E4667">
        <v>0</v>
      </c>
      <c r="F4667">
        <v>0</v>
      </c>
      <c r="G4667">
        <v>0</v>
      </c>
      <c r="H4667" s="501">
        <v>3236</v>
      </c>
      <c r="I4667" s="183" t="s">
        <v>1207</v>
      </c>
      <c r="J4667" s="183" t="s">
        <v>12087</v>
      </c>
      <c r="K4667">
        <v>0</v>
      </c>
      <c r="L4667" s="501">
        <v>3236</v>
      </c>
    </row>
    <row r="4668" spans="1:12">
      <c r="A4668" s="183" t="s">
        <v>6342</v>
      </c>
      <c r="B4668" s="183" t="s">
        <v>6338</v>
      </c>
      <c r="C4668">
        <v>8806392046518</v>
      </c>
      <c r="D4668">
        <v>499</v>
      </c>
      <c r="E4668">
        <v>0</v>
      </c>
      <c r="F4668">
        <v>0</v>
      </c>
      <c r="G4668">
        <v>0</v>
      </c>
      <c r="H4668">
        <v>499</v>
      </c>
      <c r="I4668" s="183" t="s">
        <v>6339</v>
      </c>
      <c r="J4668" s="183" t="s">
        <v>12091</v>
      </c>
      <c r="K4668">
        <v>0</v>
      </c>
      <c r="L4668">
        <v>499</v>
      </c>
    </row>
    <row r="4669" spans="1:12">
      <c r="A4669" s="183" t="s">
        <v>6368</v>
      </c>
      <c r="B4669" s="183" t="s">
        <v>6338</v>
      </c>
      <c r="C4669">
        <v>8806392046730</v>
      </c>
      <c r="D4669">
        <v>211</v>
      </c>
      <c r="E4669">
        <v>0</v>
      </c>
      <c r="F4669">
        <v>0</v>
      </c>
      <c r="G4669">
        <v>0</v>
      </c>
      <c r="H4669">
        <v>211</v>
      </c>
      <c r="I4669" s="183" t="s">
        <v>6339</v>
      </c>
      <c r="J4669" s="183" t="s">
        <v>12059</v>
      </c>
      <c r="K4669">
        <v>0</v>
      </c>
      <c r="L4669">
        <v>211</v>
      </c>
    </row>
    <row r="4670" spans="1:12">
      <c r="A4670" s="183" t="s">
        <v>6367</v>
      </c>
      <c r="B4670" s="183" t="s">
        <v>6338</v>
      </c>
      <c r="C4670">
        <v>8806392046754</v>
      </c>
      <c r="D4670">
        <v>403</v>
      </c>
      <c r="E4670">
        <v>0</v>
      </c>
      <c r="F4670">
        <v>0</v>
      </c>
      <c r="G4670">
        <v>0</v>
      </c>
      <c r="H4670">
        <v>403</v>
      </c>
      <c r="I4670" s="183" t="s">
        <v>6339</v>
      </c>
      <c r="J4670" s="183" t="s">
        <v>12059</v>
      </c>
      <c r="K4670">
        <v>0</v>
      </c>
      <c r="L4670">
        <v>403</v>
      </c>
    </row>
    <row r="4671" spans="1:12">
      <c r="A4671" s="183" t="s">
        <v>3950</v>
      </c>
      <c r="B4671" s="183" t="s">
        <v>1029</v>
      </c>
      <c r="C4671">
        <v>8806392046891</v>
      </c>
      <c r="D4671">
        <v>85</v>
      </c>
      <c r="E4671">
        <v>0</v>
      </c>
      <c r="F4671">
        <v>0</v>
      </c>
      <c r="G4671">
        <v>0</v>
      </c>
      <c r="H4671">
        <v>85</v>
      </c>
      <c r="I4671" s="183" t="s">
        <v>1030</v>
      </c>
      <c r="J4671" s="183" t="s">
        <v>12094</v>
      </c>
      <c r="K4671">
        <v>0</v>
      </c>
      <c r="L4671">
        <v>85</v>
      </c>
    </row>
    <row r="4672" spans="1:12">
      <c r="A4672" s="183" t="s">
        <v>2949</v>
      </c>
      <c r="B4672" s="183" t="s">
        <v>1029</v>
      </c>
      <c r="C4672">
        <v>8806392046907</v>
      </c>
      <c r="D4672">
        <v>224</v>
      </c>
      <c r="E4672">
        <v>0</v>
      </c>
      <c r="F4672">
        <v>0</v>
      </c>
      <c r="G4672">
        <v>0</v>
      </c>
      <c r="H4672">
        <v>224</v>
      </c>
      <c r="I4672" s="183" t="s">
        <v>1030</v>
      </c>
      <c r="J4672" s="183" t="s">
        <v>12091</v>
      </c>
      <c r="K4672">
        <v>0</v>
      </c>
      <c r="L4672">
        <v>224</v>
      </c>
    </row>
    <row r="4673" spans="1:12">
      <c r="A4673" s="183" t="s">
        <v>5371</v>
      </c>
      <c r="B4673" s="183" t="s">
        <v>5251</v>
      </c>
      <c r="C4673">
        <v>8800322949740</v>
      </c>
      <c r="D4673">
        <v>50</v>
      </c>
      <c r="E4673">
        <v>0</v>
      </c>
      <c r="F4673">
        <v>0</v>
      </c>
      <c r="G4673">
        <v>0</v>
      </c>
      <c r="H4673">
        <v>50</v>
      </c>
      <c r="I4673" s="183" t="s">
        <v>5247</v>
      </c>
      <c r="J4673" s="183" t="s">
        <v>12087</v>
      </c>
      <c r="K4673">
        <v>0</v>
      </c>
      <c r="L4673">
        <v>50</v>
      </c>
    </row>
    <row r="4674" spans="1:12">
      <c r="A4674" s="183" t="s">
        <v>5372</v>
      </c>
      <c r="B4674" s="183" t="s">
        <v>5251</v>
      </c>
      <c r="C4674">
        <v>8800322950753</v>
      </c>
      <c r="D4674">
        <v>484</v>
      </c>
      <c r="E4674">
        <v>0</v>
      </c>
      <c r="F4674">
        <v>0</v>
      </c>
      <c r="G4674">
        <v>0</v>
      </c>
      <c r="H4674">
        <v>484</v>
      </c>
      <c r="I4674" s="183" t="s">
        <v>5247</v>
      </c>
      <c r="J4674" s="183" t="s">
        <v>12048</v>
      </c>
      <c r="K4674">
        <v>0</v>
      </c>
      <c r="L4674">
        <v>484</v>
      </c>
    </row>
    <row r="4675" spans="1:12">
      <c r="A4675" s="183" t="s">
        <v>5608</v>
      </c>
      <c r="B4675" s="183" t="s">
        <v>5251</v>
      </c>
      <c r="C4675">
        <v>8800322947999</v>
      </c>
      <c r="D4675">
        <v>50</v>
      </c>
      <c r="E4675">
        <v>0</v>
      </c>
      <c r="F4675">
        <v>0</v>
      </c>
      <c r="G4675">
        <v>0</v>
      </c>
      <c r="H4675">
        <v>50</v>
      </c>
      <c r="I4675" s="183" t="s">
        <v>5247</v>
      </c>
      <c r="J4675" s="183" t="s">
        <v>12055</v>
      </c>
      <c r="K4675">
        <v>0</v>
      </c>
      <c r="L4675">
        <v>50</v>
      </c>
    </row>
    <row r="4676" spans="1:12">
      <c r="A4676" s="183" t="s">
        <v>5373</v>
      </c>
      <c r="B4676" s="183" t="s">
        <v>5251</v>
      </c>
      <c r="C4676">
        <v>8800322949764</v>
      </c>
      <c r="D4676">
        <v>50</v>
      </c>
      <c r="E4676">
        <v>0</v>
      </c>
      <c r="F4676">
        <v>0</v>
      </c>
      <c r="G4676">
        <v>0</v>
      </c>
      <c r="H4676">
        <v>50</v>
      </c>
      <c r="I4676" s="183" t="s">
        <v>5247</v>
      </c>
      <c r="J4676" s="183" t="s">
        <v>12087</v>
      </c>
      <c r="K4676">
        <v>0</v>
      </c>
      <c r="L4676">
        <v>50</v>
      </c>
    </row>
    <row r="4677" spans="1:12">
      <c r="A4677" s="183" t="s">
        <v>5609</v>
      </c>
      <c r="B4677" s="183" t="s">
        <v>5251</v>
      </c>
      <c r="C4677">
        <v>8800322947760</v>
      </c>
      <c r="D4677">
        <v>50</v>
      </c>
      <c r="E4677">
        <v>0</v>
      </c>
      <c r="F4677">
        <v>0</v>
      </c>
      <c r="G4677">
        <v>0</v>
      </c>
      <c r="H4677">
        <v>50</v>
      </c>
      <c r="I4677" s="183" t="s">
        <v>5247</v>
      </c>
      <c r="J4677" s="183" t="s">
        <v>12055</v>
      </c>
      <c r="K4677">
        <v>0</v>
      </c>
      <c r="L4677">
        <v>50</v>
      </c>
    </row>
    <row r="4678" spans="1:12">
      <c r="A4678" s="183" t="s">
        <v>5374</v>
      </c>
      <c r="B4678" s="183" t="s">
        <v>5251</v>
      </c>
      <c r="C4678">
        <v>8800322948514</v>
      </c>
      <c r="D4678">
        <v>50</v>
      </c>
      <c r="E4678">
        <v>0</v>
      </c>
      <c r="F4678">
        <v>0</v>
      </c>
      <c r="G4678">
        <v>0</v>
      </c>
      <c r="H4678">
        <v>50</v>
      </c>
      <c r="I4678" s="183" t="s">
        <v>5247</v>
      </c>
      <c r="J4678" s="183" t="s">
        <v>12066</v>
      </c>
      <c r="K4678">
        <v>0</v>
      </c>
      <c r="L4678">
        <v>50</v>
      </c>
    </row>
    <row r="4679" spans="1:12">
      <c r="A4679" s="183" t="s">
        <v>5610</v>
      </c>
      <c r="B4679" s="183" t="s">
        <v>5251</v>
      </c>
      <c r="C4679">
        <v>8800322950029</v>
      </c>
      <c r="D4679">
        <v>50</v>
      </c>
      <c r="E4679">
        <v>0</v>
      </c>
      <c r="F4679">
        <v>0</v>
      </c>
      <c r="G4679">
        <v>0</v>
      </c>
      <c r="H4679">
        <v>50</v>
      </c>
      <c r="I4679" s="183" t="s">
        <v>5247</v>
      </c>
      <c r="J4679" s="183" t="s">
        <v>12063</v>
      </c>
      <c r="K4679">
        <v>0</v>
      </c>
      <c r="L4679">
        <v>50</v>
      </c>
    </row>
    <row r="4680" spans="1:12">
      <c r="A4680" s="183" t="s">
        <v>5401</v>
      </c>
      <c r="B4680" s="183" t="s">
        <v>5251</v>
      </c>
      <c r="C4680">
        <v>8800322947777</v>
      </c>
      <c r="D4680">
        <v>50</v>
      </c>
      <c r="E4680">
        <v>0</v>
      </c>
      <c r="F4680">
        <v>0</v>
      </c>
      <c r="G4680">
        <v>0</v>
      </c>
      <c r="H4680">
        <v>50</v>
      </c>
      <c r="I4680" s="183" t="s">
        <v>5247</v>
      </c>
      <c r="J4680" s="183" t="s">
        <v>12066</v>
      </c>
      <c r="K4680">
        <v>0</v>
      </c>
      <c r="L4680">
        <v>50</v>
      </c>
    </row>
    <row r="4681" spans="1:12">
      <c r="A4681" s="183" t="s">
        <v>5611</v>
      </c>
      <c r="B4681" s="183" t="s">
        <v>5251</v>
      </c>
      <c r="C4681">
        <v>8800322949276</v>
      </c>
      <c r="D4681">
        <v>50</v>
      </c>
      <c r="E4681">
        <v>0</v>
      </c>
      <c r="F4681">
        <v>0</v>
      </c>
      <c r="G4681">
        <v>0</v>
      </c>
      <c r="H4681">
        <v>50</v>
      </c>
      <c r="I4681" s="183" t="s">
        <v>5247</v>
      </c>
      <c r="J4681" s="183" t="s">
        <v>12094</v>
      </c>
      <c r="K4681">
        <v>0</v>
      </c>
      <c r="L4681">
        <v>50</v>
      </c>
    </row>
    <row r="4682" spans="1:12">
      <c r="A4682" s="183" t="s">
        <v>5402</v>
      </c>
      <c r="B4682" s="183" t="s">
        <v>5256</v>
      </c>
      <c r="C4682">
        <v>8800322947784</v>
      </c>
      <c r="D4682">
        <v>50</v>
      </c>
      <c r="E4682">
        <v>0</v>
      </c>
      <c r="F4682">
        <v>0</v>
      </c>
      <c r="G4682">
        <v>0</v>
      </c>
      <c r="H4682">
        <v>50</v>
      </c>
      <c r="I4682" s="183" t="s">
        <v>5247</v>
      </c>
      <c r="J4682" s="183" t="s">
        <v>12085</v>
      </c>
      <c r="K4682">
        <v>0</v>
      </c>
      <c r="L4682">
        <v>50</v>
      </c>
    </row>
    <row r="4683" spans="1:12">
      <c r="A4683" s="183" t="s">
        <v>5612</v>
      </c>
      <c r="B4683" s="183" t="s">
        <v>5256</v>
      </c>
      <c r="C4683">
        <v>8800322949283</v>
      </c>
      <c r="D4683">
        <v>50</v>
      </c>
      <c r="E4683">
        <v>0</v>
      </c>
      <c r="F4683">
        <v>0</v>
      </c>
      <c r="G4683">
        <v>0</v>
      </c>
      <c r="H4683">
        <v>50</v>
      </c>
      <c r="I4683" s="183" t="s">
        <v>5247</v>
      </c>
      <c r="J4683" s="183" t="s">
        <v>12094</v>
      </c>
      <c r="K4683">
        <v>0</v>
      </c>
      <c r="L4683">
        <v>50</v>
      </c>
    </row>
    <row r="4684" spans="1:12">
      <c r="A4684" s="183" t="s">
        <v>5403</v>
      </c>
      <c r="B4684" s="183" t="s">
        <v>5256</v>
      </c>
      <c r="C4684">
        <v>8800322947043</v>
      </c>
      <c r="D4684">
        <v>50</v>
      </c>
      <c r="E4684">
        <v>0</v>
      </c>
      <c r="F4684">
        <v>0</v>
      </c>
      <c r="G4684">
        <v>0</v>
      </c>
      <c r="H4684">
        <v>50</v>
      </c>
      <c r="I4684" s="183" t="s">
        <v>5247</v>
      </c>
      <c r="J4684" s="183" t="s">
        <v>12095</v>
      </c>
      <c r="K4684">
        <v>0</v>
      </c>
      <c r="L4684">
        <v>50</v>
      </c>
    </row>
    <row r="4685" spans="1:12">
      <c r="A4685" s="183" t="s">
        <v>5613</v>
      </c>
      <c r="B4685" s="183" t="s">
        <v>5256</v>
      </c>
      <c r="C4685">
        <v>8800322949290</v>
      </c>
      <c r="D4685">
        <v>50</v>
      </c>
      <c r="E4685">
        <v>0</v>
      </c>
      <c r="F4685">
        <v>0</v>
      </c>
      <c r="G4685">
        <v>0</v>
      </c>
      <c r="H4685">
        <v>50</v>
      </c>
      <c r="I4685" s="183" t="s">
        <v>5247</v>
      </c>
      <c r="J4685" s="183" t="s">
        <v>12066</v>
      </c>
      <c r="K4685">
        <v>0</v>
      </c>
      <c r="L4685">
        <v>50</v>
      </c>
    </row>
    <row r="4686" spans="1:12">
      <c r="A4686" s="183" t="s">
        <v>5614</v>
      </c>
      <c r="B4686" s="183" t="s">
        <v>5256</v>
      </c>
      <c r="C4686">
        <v>8800322947807</v>
      </c>
      <c r="D4686">
        <v>50</v>
      </c>
      <c r="E4686">
        <v>0</v>
      </c>
      <c r="F4686">
        <v>0</v>
      </c>
      <c r="G4686">
        <v>0</v>
      </c>
      <c r="H4686">
        <v>50</v>
      </c>
      <c r="I4686" s="183" t="s">
        <v>5247</v>
      </c>
      <c r="J4686" s="183" t="s">
        <v>12087</v>
      </c>
      <c r="K4686">
        <v>0</v>
      </c>
      <c r="L4686">
        <v>50</v>
      </c>
    </row>
    <row r="4687" spans="1:12">
      <c r="A4687" s="183" t="s">
        <v>5615</v>
      </c>
      <c r="B4687" s="183" t="s">
        <v>5256</v>
      </c>
      <c r="C4687">
        <v>8800322948552</v>
      </c>
      <c r="D4687">
        <v>50</v>
      </c>
      <c r="E4687">
        <v>0</v>
      </c>
      <c r="F4687">
        <v>0</v>
      </c>
      <c r="G4687">
        <v>0</v>
      </c>
      <c r="H4687">
        <v>50</v>
      </c>
      <c r="I4687" s="183" t="s">
        <v>5247</v>
      </c>
      <c r="J4687" s="183" t="s">
        <v>12048</v>
      </c>
      <c r="K4687">
        <v>0</v>
      </c>
      <c r="L4687">
        <v>50</v>
      </c>
    </row>
    <row r="4688" spans="1:12">
      <c r="A4688" s="183" t="s">
        <v>5404</v>
      </c>
      <c r="B4688" s="183" t="s">
        <v>5267</v>
      </c>
      <c r="C4688">
        <v>8800322947074</v>
      </c>
      <c r="D4688">
        <v>50</v>
      </c>
      <c r="E4688">
        <v>0</v>
      </c>
      <c r="F4688">
        <v>0</v>
      </c>
      <c r="G4688">
        <v>0</v>
      </c>
      <c r="H4688">
        <v>50</v>
      </c>
      <c r="I4688" s="183" t="s">
        <v>5247</v>
      </c>
      <c r="J4688" s="183" t="s">
        <v>12057</v>
      </c>
      <c r="K4688">
        <v>0</v>
      </c>
      <c r="L4688">
        <v>50</v>
      </c>
    </row>
    <row r="4689" spans="1:12">
      <c r="A4689" s="183" t="s">
        <v>5616</v>
      </c>
      <c r="B4689" s="183" t="s">
        <v>5267</v>
      </c>
      <c r="C4689">
        <v>8800322947821</v>
      </c>
      <c r="D4689">
        <v>50</v>
      </c>
      <c r="E4689">
        <v>0</v>
      </c>
      <c r="F4689">
        <v>0</v>
      </c>
      <c r="G4689">
        <v>0</v>
      </c>
      <c r="H4689">
        <v>50</v>
      </c>
      <c r="I4689" s="183" t="s">
        <v>5247</v>
      </c>
      <c r="J4689" s="183" t="s">
        <v>12095</v>
      </c>
      <c r="K4689">
        <v>0</v>
      </c>
      <c r="L4689">
        <v>50</v>
      </c>
    </row>
    <row r="4690" spans="1:12">
      <c r="A4690" s="183" t="s">
        <v>5617</v>
      </c>
      <c r="B4690" s="183" t="s">
        <v>5267</v>
      </c>
      <c r="C4690">
        <v>8800322948576</v>
      </c>
      <c r="D4690">
        <v>50</v>
      </c>
      <c r="E4690">
        <v>0</v>
      </c>
      <c r="F4690">
        <v>0</v>
      </c>
      <c r="G4690">
        <v>0</v>
      </c>
      <c r="H4690">
        <v>50</v>
      </c>
      <c r="I4690" s="183" t="s">
        <v>5247</v>
      </c>
      <c r="J4690" s="183" t="s">
        <v>12050</v>
      </c>
      <c r="K4690">
        <v>0</v>
      </c>
      <c r="L4690">
        <v>50</v>
      </c>
    </row>
    <row r="4691" spans="1:12">
      <c r="A4691" s="183" t="s">
        <v>5618</v>
      </c>
      <c r="B4691" s="183" t="s">
        <v>5267</v>
      </c>
      <c r="C4691">
        <v>8800322950333</v>
      </c>
      <c r="D4691">
        <v>50</v>
      </c>
      <c r="E4691">
        <v>0</v>
      </c>
      <c r="F4691">
        <v>0</v>
      </c>
      <c r="G4691">
        <v>0</v>
      </c>
      <c r="H4691">
        <v>50</v>
      </c>
      <c r="I4691" s="183" t="s">
        <v>5247</v>
      </c>
      <c r="J4691" s="183" t="s">
        <v>12095</v>
      </c>
      <c r="K4691">
        <v>0</v>
      </c>
      <c r="L4691">
        <v>50</v>
      </c>
    </row>
    <row r="4692" spans="1:12">
      <c r="A4692" s="183" t="s">
        <v>5405</v>
      </c>
      <c r="B4692" s="183" t="s">
        <v>5267</v>
      </c>
      <c r="C4692">
        <v>8800322949085</v>
      </c>
      <c r="D4692">
        <v>50</v>
      </c>
      <c r="E4692">
        <v>0</v>
      </c>
      <c r="F4692">
        <v>0</v>
      </c>
      <c r="G4692">
        <v>0</v>
      </c>
      <c r="H4692">
        <v>50</v>
      </c>
      <c r="I4692" s="183" t="s">
        <v>5247</v>
      </c>
      <c r="J4692" s="183" t="s">
        <v>12066</v>
      </c>
      <c r="K4692">
        <v>0</v>
      </c>
      <c r="L4692">
        <v>50</v>
      </c>
    </row>
    <row r="4693" spans="1:12">
      <c r="A4693" s="183" t="s">
        <v>5619</v>
      </c>
      <c r="B4693" s="183" t="s">
        <v>5267</v>
      </c>
      <c r="C4693">
        <v>8800322947081</v>
      </c>
      <c r="D4693">
        <v>50</v>
      </c>
      <c r="E4693">
        <v>0</v>
      </c>
      <c r="F4693">
        <v>0</v>
      </c>
      <c r="G4693">
        <v>0</v>
      </c>
      <c r="H4693">
        <v>50</v>
      </c>
      <c r="I4693" s="183" t="s">
        <v>5247</v>
      </c>
      <c r="J4693" s="183" t="s">
        <v>12057</v>
      </c>
      <c r="K4693">
        <v>0</v>
      </c>
      <c r="L4693">
        <v>50</v>
      </c>
    </row>
    <row r="4694" spans="1:12">
      <c r="A4694" s="183" t="s">
        <v>5620</v>
      </c>
      <c r="B4694" s="183" t="s">
        <v>5267</v>
      </c>
      <c r="C4694">
        <v>8800322949337</v>
      </c>
      <c r="D4694">
        <v>50</v>
      </c>
      <c r="E4694">
        <v>0</v>
      </c>
      <c r="F4694">
        <v>0</v>
      </c>
      <c r="G4694">
        <v>0</v>
      </c>
      <c r="H4694">
        <v>50</v>
      </c>
      <c r="I4694" s="183" t="s">
        <v>5247</v>
      </c>
      <c r="J4694" s="183" t="s">
        <v>12094</v>
      </c>
      <c r="K4694">
        <v>0</v>
      </c>
      <c r="L4694">
        <v>50</v>
      </c>
    </row>
    <row r="4695" spans="1:12">
      <c r="A4695" s="183" t="s">
        <v>5406</v>
      </c>
      <c r="B4695" s="183" t="s">
        <v>5267</v>
      </c>
      <c r="C4695">
        <v>8800322950845</v>
      </c>
      <c r="D4695">
        <v>480</v>
      </c>
      <c r="E4695">
        <v>0</v>
      </c>
      <c r="F4695">
        <v>0</v>
      </c>
      <c r="G4695">
        <v>0</v>
      </c>
      <c r="H4695">
        <v>480</v>
      </c>
      <c r="I4695" s="183" t="s">
        <v>5247</v>
      </c>
      <c r="J4695" s="183" t="s">
        <v>12085</v>
      </c>
      <c r="K4695">
        <v>0</v>
      </c>
      <c r="L4695">
        <v>480</v>
      </c>
    </row>
    <row r="4696" spans="1:12">
      <c r="A4696" s="183" t="s">
        <v>5816</v>
      </c>
      <c r="B4696" s="183" t="s">
        <v>5267</v>
      </c>
      <c r="C4696">
        <v>8800322948835</v>
      </c>
      <c r="D4696">
        <v>50</v>
      </c>
      <c r="E4696">
        <v>0</v>
      </c>
      <c r="F4696">
        <v>0</v>
      </c>
      <c r="G4696">
        <v>0</v>
      </c>
      <c r="H4696">
        <v>50</v>
      </c>
      <c r="I4696" s="183" t="s">
        <v>5247</v>
      </c>
      <c r="J4696" s="183" t="s">
        <v>12066</v>
      </c>
      <c r="K4696">
        <v>0</v>
      </c>
      <c r="L4696">
        <v>50</v>
      </c>
    </row>
    <row r="4697" spans="1:12">
      <c r="A4697" s="183" t="s">
        <v>5407</v>
      </c>
      <c r="B4697" s="183" t="s">
        <v>5267</v>
      </c>
      <c r="C4697">
        <v>8800322950852</v>
      </c>
      <c r="D4697">
        <v>483</v>
      </c>
      <c r="E4697">
        <v>0</v>
      </c>
      <c r="F4697">
        <v>0</v>
      </c>
      <c r="G4697">
        <v>0</v>
      </c>
      <c r="H4697">
        <v>483</v>
      </c>
      <c r="I4697" s="183" t="s">
        <v>5247</v>
      </c>
      <c r="J4697" s="183" t="s">
        <v>12063</v>
      </c>
      <c r="K4697">
        <v>0</v>
      </c>
      <c r="L4697">
        <v>483</v>
      </c>
    </row>
    <row r="4698" spans="1:12">
      <c r="A4698" s="183" t="s">
        <v>5621</v>
      </c>
      <c r="B4698" s="183" t="s">
        <v>5267</v>
      </c>
      <c r="C4698">
        <v>8800322949603</v>
      </c>
      <c r="D4698">
        <v>49</v>
      </c>
      <c r="E4698">
        <v>0</v>
      </c>
      <c r="F4698">
        <v>0</v>
      </c>
      <c r="G4698">
        <v>0</v>
      </c>
      <c r="H4698">
        <v>49</v>
      </c>
      <c r="I4698" s="183" t="s">
        <v>5247</v>
      </c>
      <c r="J4698" s="183" t="s">
        <v>12085</v>
      </c>
      <c r="K4698">
        <v>0</v>
      </c>
      <c r="L4698">
        <v>49</v>
      </c>
    </row>
    <row r="4699" spans="1:12">
      <c r="A4699" s="183" t="s">
        <v>5622</v>
      </c>
      <c r="B4699" s="183" t="s">
        <v>5296</v>
      </c>
      <c r="C4699">
        <v>8800322947869</v>
      </c>
      <c r="D4699">
        <v>50</v>
      </c>
      <c r="E4699">
        <v>0</v>
      </c>
      <c r="F4699">
        <v>0</v>
      </c>
      <c r="G4699">
        <v>0</v>
      </c>
      <c r="H4699">
        <v>50</v>
      </c>
      <c r="I4699" s="183" t="s">
        <v>5247</v>
      </c>
      <c r="J4699" s="183" t="s">
        <v>12087</v>
      </c>
      <c r="K4699">
        <v>0</v>
      </c>
      <c r="L4699">
        <v>50</v>
      </c>
    </row>
    <row r="4700" spans="1:12">
      <c r="A4700" s="183" t="s">
        <v>5817</v>
      </c>
      <c r="B4700" s="183" t="s">
        <v>5274</v>
      </c>
      <c r="C4700">
        <v>8800322949634</v>
      </c>
      <c r="D4700">
        <v>50</v>
      </c>
      <c r="E4700">
        <v>0</v>
      </c>
      <c r="F4700">
        <v>0</v>
      </c>
      <c r="G4700">
        <v>0</v>
      </c>
      <c r="H4700">
        <v>50</v>
      </c>
      <c r="I4700" s="183" t="s">
        <v>5247</v>
      </c>
      <c r="J4700" s="183" t="s">
        <v>12087</v>
      </c>
      <c r="K4700">
        <v>0</v>
      </c>
      <c r="L4700">
        <v>50</v>
      </c>
    </row>
    <row r="4701" spans="1:12">
      <c r="A4701" s="183" t="s">
        <v>5408</v>
      </c>
      <c r="B4701" s="183" t="s">
        <v>5302</v>
      </c>
      <c r="C4701">
        <v>8800322950913</v>
      </c>
      <c r="D4701">
        <v>544</v>
      </c>
      <c r="E4701">
        <v>0</v>
      </c>
      <c r="F4701">
        <v>0</v>
      </c>
      <c r="G4701">
        <v>0</v>
      </c>
      <c r="H4701">
        <v>544</v>
      </c>
      <c r="I4701" s="183" t="s">
        <v>5247</v>
      </c>
      <c r="J4701" s="183" t="s">
        <v>12050</v>
      </c>
      <c r="K4701">
        <v>0</v>
      </c>
      <c r="L4701">
        <v>544</v>
      </c>
    </row>
    <row r="4702" spans="1:12">
      <c r="A4702" s="183" t="s">
        <v>5409</v>
      </c>
      <c r="B4702" s="183" t="s">
        <v>5277</v>
      </c>
      <c r="C4702">
        <v>8800322949177</v>
      </c>
      <c r="D4702">
        <v>50</v>
      </c>
      <c r="E4702">
        <v>0</v>
      </c>
      <c r="F4702">
        <v>0</v>
      </c>
      <c r="G4702">
        <v>0</v>
      </c>
      <c r="H4702">
        <v>50</v>
      </c>
      <c r="I4702" s="183" t="s">
        <v>5247</v>
      </c>
      <c r="J4702" s="183" t="s">
        <v>12066</v>
      </c>
      <c r="K4702">
        <v>0</v>
      </c>
      <c r="L4702">
        <v>50</v>
      </c>
    </row>
    <row r="4703" spans="1:12">
      <c r="A4703" s="183" t="s">
        <v>5410</v>
      </c>
      <c r="B4703" s="183" t="s">
        <v>5277</v>
      </c>
      <c r="C4703">
        <v>8800322950685</v>
      </c>
      <c r="D4703">
        <v>665</v>
      </c>
      <c r="E4703">
        <v>0</v>
      </c>
      <c r="F4703">
        <v>0</v>
      </c>
      <c r="G4703">
        <v>0</v>
      </c>
      <c r="H4703">
        <v>665</v>
      </c>
      <c r="I4703" s="183" t="s">
        <v>5247</v>
      </c>
      <c r="J4703" s="183" t="s">
        <v>12087</v>
      </c>
      <c r="K4703">
        <v>0</v>
      </c>
      <c r="L4703">
        <v>665</v>
      </c>
    </row>
    <row r="4704" spans="1:12">
      <c r="A4704" s="183" t="s">
        <v>5818</v>
      </c>
      <c r="B4704" s="183" t="s">
        <v>5277</v>
      </c>
      <c r="C4704">
        <v>8800322948927</v>
      </c>
      <c r="D4704">
        <v>50</v>
      </c>
      <c r="E4704">
        <v>0</v>
      </c>
      <c r="F4704">
        <v>0</v>
      </c>
      <c r="G4704">
        <v>0</v>
      </c>
      <c r="H4704">
        <v>50</v>
      </c>
      <c r="I4704" s="183" t="s">
        <v>5247</v>
      </c>
      <c r="J4704" s="183" t="s">
        <v>12050</v>
      </c>
      <c r="K4704">
        <v>0</v>
      </c>
      <c r="L4704">
        <v>50</v>
      </c>
    </row>
    <row r="4705" spans="1:12">
      <c r="A4705" s="183" t="s">
        <v>5411</v>
      </c>
      <c r="B4705" s="183" t="s">
        <v>5277</v>
      </c>
      <c r="C4705">
        <v>8800322948439</v>
      </c>
      <c r="D4705">
        <v>50</v>
      </c>
      <c r="E4705">
        <v>0</v>
      </c>
      <c r="F4705">
        <v>0</v>
      </c>
      <c r="G4705">
        <v>0</v>
      </c>
      <c r="H4705">
        <v>50</v>
      </c>
      <c r="I4705" s="183" t="s">
        <v>5247</v>
      </c>
      <c r="J4705" s="183" t="s">
        <v>12050</v>
      </c>
      <c r="K4705">
        <v>0</v>
      </c>
      <c r="L4705">
        <v>50</v>
      </c>
    </row>
    <row r="4706" spans="1:12">
      <c r="A4706" s="183" t="s">
        <v>5819</v>
      </c>
      <c r="B4706" s="183" t="s">
        <v>5277</v>
      </c>
      <c r="C4706">
        <v>8800322950692</v>
      </c>
      <c r="D4706">
        <v>561</v>
      </c>
      <c r="E4706">
        <v>0</v>
      </c>
      <c r="F4706">
        <v>0</v>
      </c>
      <c r="G4706">
        <v>0</v>
      </c>
      <c r="H4706">
        <v>561</v>
      </c>
      <c r="I4706" s="183" t="s">
        <v>5247</v>
      </c>
      <c r="J4706" s="183" t="s">
        <v>12048</v>
      </c>
      <c r="K4706">
        <v>0</v>
      </c>
      <c r="L4706">
        <v>561</v>
      </c>
    </row>
    <row r="4707" spans="1:12">
      <c r="A4707" s="183" t="s">
        <v>5820</v>
      </c>
      <c r="B4707" s="183" t="s">
        <v>5308</v>
      </c>
      <c r="C4707">
        <v>8800322950456</v>
      </c>
      <c r="D4707">
        <v>50</v>
      </c>
      <c r="E4707">
        <v>0</v>
      </c>
      <c r="F4707">
        <v>0</v>
      </c>
      <c r="G4707">
        <v>0</v>
      </c>
      <c r="H4707">
        <v>50</v>
      </c>
      <c r="I4707" s="183" t="s">
        <v>5247</v>
      </c>
      <c r="J4707" s="183" t="s">
        <v>12087</v>
      </c>
      <c r="K4707">
        <v>0</v>
      </c>
      <c r="L4707">
        <v>50</v>
      </c>
    </row>
    <row r="4708" spans="1:12">
      <c r="A4708" s="183" t="s">
        <v>883</v>
      </c>
      <c r="B4708" s="183" t="s">
        <v>1039</v>
      </c>
      <c r="C4708">
        <v>8809867716541</v>
      </c>
      <c r="D4708" s="501">
        <v>1350</v>
      </c>
      <c r="E4708">
        <v>0</v>
      </c>
      <c r="F4708">
        <v>0</v>
      </c>
      <c r="G4708">
        <v>0</v>
      </c>
      <c r="H4708" s="501">
        <v>1350</v>
      </c>
      <c r="I4708" s="183" t="s">
        <v>1040</v>
      </c>
      <c r="J4708" s="183" t="s">
        <v>12092</v>
      </c>
      <c r="K4708">
        <v>0</v>
      </c>
      <c r="L4708" s="501">
        <v>1350</v>
      </c>
    </row>
    <row r="4709" spans="1:12">
      <c r="A4709" s="183" t="s">
        <v>884</v>
      </c>
      <c r="B4709" s="183" t="s">
        <v>1039</v>
      </c>
      <c r="C4709">
        <v>8809867716664</v>
      </c>
      <c r="D4709">
        <v>825</v>
      </c>
      <c r="E4709">
        <v>0</v>
      </c>
      <c r="F4709">
        <v>0</v>
      </c>
      <c r="G4709">
        <v>0</v>
      </c>
      <c r="H4709">
        <v>825</v>
      </c>
      <c r="I4709" s="183" t="s">
        <v>1040</v>
      </c>
      <c r="J4709" s="183" t="s">
        <v>12063</v>
      </c>
      <c r="K4709">
        <v>0</v>
      </c>
      <c r="L4709">
        <v>825</v>
      </c>
    </row>
    <row r="4710" spans="1:12">
      <c r="A4710" s="183" t="s">
        <v>885</v>
      </c>
      <c r="B4710" s="183" t="s">
        <v>1039</v>
      </c>
      <c r="C4710">
        <v>8809867716695</v>
      </c>
      <c r="D4710" s="501">
        <v>1046</v>
      </c>
      <c r="E4710">
        <v>0</v>
      </c>
      <c r="F4710">
        <v>0</v>
      </c>
      <c r="G4710">
        <v>0</v>
      </c>
      <c r="H4710" s="501">
        <v>1046</v>
      </c>
      <c r="I4710" s="183" t="s">
        <v>1040</v>
      </c>
      <c r="J4710" s="183" t="s">
        <v>12095</v>
      </c>
      <c r="K4710">
        <v>0</v>
      </c>
      <c r="L4710" s="501">
        <v>1046</v>
      </c>
    </row>
    <row r="4711" spans="1:12">
      <c r="A4711" s="183" t="s">
        <v>886</v>
      </c>
      <c r="B4711" s="183" t="s">
        <v>1039</v>
      </c>
      <c r="C4711">
        <v>8809867716725</v>
      </c>
      <c r="D4711">
        <v>792</v>
      </c>
      <c r="E4711">
        <v>0</v>
      </c>
      <c r="F4711">
        <v>0</v>
      </c>
      <c r="G4711">
        <v>0</v>
      </c>
      <c r="H4711">
        <v>792</v>
      </c>
      <c r="I4711" s="183" t="s">
        <v>1040</v>
      </c>
      <c r="J4711" s="183" t="s">
        <v>12093</v>
      </c>
      <c r="K4711">
        <v>0</v>
      </c>
      <c r="L4711">
        <v>792</v>
      </c>
    </row>
    <row r="4712" spans="1:12">
      <c r="A4712" s="183" t="s">
        <v>3759</v>
      </c>
      <c r="B4712" s="183" t="s">
        <v>1039</v>
      </c>
      <c r="C4712">
        <v>8809867716978</v>
      </c>
      <c r="D4712">
        <v>636</v>
      </c>
      <c r="E4712">
        <v>0</v>
      </c>
      <c r="F4712">
        <v>0</v>
      </c>
      <c r="G4712">
        <v>0</v>
      </c>
      <c r="H4712">
        <v>636</v>
      </c>
      <c r="I4712" s="183" t="s">
        <v>1040</v>
      </c>
      <c r="J4712" s="183" t="s">
        <v>12093</v>
      </c>
      <c r="K4712">
        <v>0</v>
      </c>
      <c r="L4712">
        <v>636</v>
      </c>
    </row>
    <row r="4713" spans="1:12">
      <c r="A4713" s="183" t="s">
        <v>887</v>
      </c>
      <c r="B4713" s="183" t="s">
        <v>1039</v>
      </c>
      <c r="C4713">
        <v>8809867717050</v>
      </c>
      <c r="D4713">
        <v>992</v>
      </c>
      <c r="E4713">
        <v>0</v>
      </c>
      <c r="F4713">
        <v>0</v>
      </c>
      <c r="G4713">
        <v>0</v>
      </c>
      <c r="H4713">
        <v>992</v>
      </c>
      <c r="I4713" s="183" t="s">
        <v>1040</v>
      </c>
      <c r="J4713" s="183" t="s">
        <v>12081</v>
      </c>
      <c r="K4713">
        <v>0</v>
      </c>
      <c r="L4713">
        <v>992</v>
      </c>
    </row>
    <row r="4714" spans="1:12">
      <c r="A4714" s="183" t="s">
        <v>2076</v>
      </c>
      <c r="B4714" s="183" t="s">
        <v>1039</v>
      </c>
      <c r="C4714">
        <v>8809867717098</v>
      </c>
      <c r="D4714">
        <v>92</v>
      </c>
      <c r="E4714">
        <v>0</v>
      </c>
      <c r="F4714">
        <v>0</v>
      </c>
      <c r="G4714">
        <v>0</v>
      </c>
      <c r="H4714">
        <v>92</v>
      </c>
      <c r="I4714" s="183" t="s">
        <v>1040</v>
      </c>
      <c r="J4714" s="183" t="s">
        <v>12059</v>
      </c>
      <c r="K4714">
        <v>0</v>
      </c>
      <c r="L4714">
        <v>92</v>
      </c>
    </row>
    <row r="4715" spans="1:12">
      <c r="A4715" s="183" t="s">
        <v>935</v>
      </c>
      <c r="B4715" s="183" t="s">
        <v>927</v>
      </c>
      <c r="C4715">
        <v>8809867717395</v>
      </c>
      <c r="D4715" s="501">
        <v>1795</v>
      </c>
      <c r="E4715">
        <v>0</v>
      </c>
      <c r="F4715">
        <v>0</v>
      </c>
      <c r="G4715">
        <v>0</v>
      </c>
      <c r="H4715" s="501">
        <v>1795</v>
      </c>
      <c r="I4715" s="183" t="s">
        <v>1021</v>
      </c>
      <c r="J4715" s="183" t="s">
        <v>12048</v>
      </c>
      <c r="K4715">
        <v>0</v>
      </c>
      <c r="L4715" s="501">
        <v>1795</v>
      </c>
    </row>
    <row r="4716" spans="1:12">
      <c r="A4716" s="183" t="s">
        <v>915</v>
      </c>
      <c r="B4716" s="183" t="s">
        <v>927</v>
      </c>
      <c r="C4716">
        <v>8809867717470</v>
      </c>
      <c r="D4716" s="501">
        <v>1266</v>
      </c>
      <c r="E4716">
        <v>0</v>
      </c>
      <c r="F4716">
        <v>0</v>
      </c>
      <c r="G4716">
        <v>0</v>
      </c>
      <c r="H4716" s="501">
        <v>1266</v>
      </c>
      <c r="I4716" s="183" t="s">
        <v>1021</v>
      </c>
      <c r="J4716" s="183" t="s">
        <v>12094</v>
      </c>
      <c r="K4716">
        <v>0</v>
      </c>
      <c r="L4716" s="501">
        <v>1266</v>
      </c>
    </row>
    <row r="4717" spans="1:12">
      <c r="A4717" s="183" t="s">
        <v>940</v>
      </c>
      <c r="B4717" s="183" t="s">
        <v>927</v>
      </c>
      <c r="C4717">
        <v>8809867717548</v>
      </c>
      <c r="D4717" s="501">
        <v>1814</v>
      </c>
      <c r="E4717">
        <v>0</v>
      </c>
      <c r="F4717">
        <v>0</v>
      </c>
      <c r="G4717">
        <v>0</v>
      </c>
      <c r="H4717" s="501">
        <v>1814</v>
      </c>
      <c r="I4717" s="183" t="s">
        <v>1021</v>
      </c>
      <c r="J4717" s="183" t="s">
        <v>12094</v>
      </c>
      <c r="K4717">
        <v>0</v>
      </c>
      <c r="L4717" s="501">
        <v>1814</v>
      </c>
    </row>
    <row r="4718" spans="1:12">
      <c r="A4718" s="183" t="s">
        <v>967</v>
      </c>
      <c r="B4718" s="183" t="s">
        <v>927</v>
      </c>
      <c r="C4718">
        <v>8809867717616</v>
      </c>
      <c r="D4718" s="501">
        <v>1383</v>
      </c>
      <c r="E4718">
        <v>0</v>
      </c>
      <c r="F4718">
        <v>0</v>
      </c>
      <c r="G4718">
        <v>0</v>
      </c>
      <c r="H4718" s="501">
        <v>1383</v>
      </c>
      <c r="I4718" s="183" t="s">
        <v>1021</v>
      </c>
      <c r="J4718" s="183" t="s">
        <v>12093</v>
      </c>
      <c r="K4718">
        <v>0</v>
      </c>
      <c r="L4718" s="501">
        <v>1383</v>
      </c>
    </row>
    <row r="4719" spans="1:12">
      <c r="A4719" s="183" t="s">
        <v>968</v>
      </c>
      <c r="B4719" s="183" t="s">
        <v>927</v>
      </c>
      <c r="C4719">
        <v>8809867717647</v>
      </c>
      <c r="D4719" s="501">
        <v>1141</v>
      </c>
      <c r="E4719">
        <v>0</v>
      </c>
      <c r="F4719">
        <v>0</v>
      </c>
      <c r="G4719">
        <v>0</v>
      </c>
      <c r="H4719" s="501">
        <v>1141</v>
      </c>
      <c r="I4719" s="183" t="s">
        <v>1021</v>
      </c>
      <c r="J4719" s="183" t="s">
        <v>12092</v>
      </c>
      <c r="K4719">
        <v>0</v>
      </c>
      <c r="L4719" s="501">
        <v>1141</v>
      </c>
    </row>
    <row r="4720" spans="1:12">
      <c r="A4720" s="183" t="s">
        <v>945</v>
      </c>
      <c r="B4720" s="183" t="s">
        <v>927</v>
      </c>
      <c r="C4720">
        <v>8809867717692</v>
      </c>
      <c r="D4720" s="501">
        <v>1209</v>
      </c>
      <c r="E4720">
        <v>0</v>
      </c>
      <c r="F4720">
        <v>0</v>
      </c>
      <c r="G4720">
        <v>0</v>
      </c>
      <c r="H4720" s="501">
        <v>1209</v>
      </c>
      <c r="I4720" s="183" t="s">
        <v>1021</v>
      </c>
      <c r="J4720" s="183" t="s">
        <v>12094</v>
      </c>
      <c r="K4720">
        <v>0</v>
      </c>
      <c r="L4720" s="501">
        <v>1209</v>
      </c>
    </row>
    <row r="4721" spans="1:12">
      <c r="A4721" s="183" t="s">
        <v>923</v>
      </c>
      <c r="B4721" s="183" t="s">
        <v>927</v>
      </c>
      <c r="C4721">
        <v>8809867717746</v>
      </c>
      <c r="D4721" s="501">
        <v>1207</v>
      </c>
      <c r="E4721">
        <v>0</v>
      </c>
      <c r="F4721">
        <v>0</v>
      </c>
      <c r="G4721">
        <v>0</v>
      </c>
      <c r="H4721" s="501">
        <v>1207</v>
      </c>
      <c r="I4721" s="183" t="s">
        <v>1021</v>
      </c>
      <c r="J4721" s="183" t="s">
        <v>12093</v>
      </c>
      <c r="K4721">
        <v>0</v>
      </c>
      <c r="L4721" s="501">
        <v>1207</v>
      </c>
    </row>
    <row r="4722" spans="1:12">
      <c r="A4722" s="183" t="s">
        <v>948</v>
      </c>
      <c r="B4722" s="183" t="s">
        <v>927</v>
      </c>
      <c r="C4722">
        <v>8809867717784</v>
      </c>
      <c r="D4722">
        <v>824</v>
      </c>
      <c r="E4722">
        <v>0</v>
      </c>
      <c r="F4722">
        <v>0</v>
      </c>
      <c r="G4722">
        <v>0</v>
      </c>
      <c r="H4722">
        <v>824</v>
      </c>
      <c r="I4722" s="183" t="s">
        <v>1021</v>
      </c>
      <c r="J4722" s="183" t="s">
        <v>12081</v>
      </c>
      <c r="K4722">
        <v>0</v>
      </c>
      <c r="L4722">
        <v>824</v>
      </c>
    </row>
    <row r="4723" spans="1:12">
      <c r="A4723" s="183" t="s">
        <v>1181</v>
      </c>
      <c r="B4723" s="183" t="s">
        <v>1006</v>
      </c>
      <c r="C4723">
        <v>8809867704586</v>
      </c>
      <c r="D4723">
        <v>86</v>
      </c>
      <c r="E4723">
        <v>0</v>
      </c>
      <c r="F4723">
        <v>0</v>
      </c>
      <c r="G4723">
        <v>0</v>
      </c>
      <c r="H4723">
        <v>86</v>
      </c>
      <c r="I4723" s="183" t="s">
        <v>1007</v>
      </c>
      <c r="J4723" s="183" t="s">
        <v>12059</v>
      </c>
      <c r="K4723">
        <v>0</v>
      </c>
      <c r="L4723">
        <v>86</v>
      </c>
    </row>
    <row r="4724" spans="1:12">
      <c r="A4724" s="183" t="s">
        <v>2253</v>
      </c>
      <c r="B4724" s="183" t="s">
        <v>1006</v>
      </c>
      <c r="C4724">
        <v>8809867704647</v>
      </c>
      <c r="D4724">
        <v>33</v>
      </c>
      <c r="E4724">
        <v>0</v>
      </c>
      <c r="F4724">
        <v>0</v>
      </c>
      <c r="G4724">
        <v>0</v>
      </c>
      <c r="H4724">
        <v>33</v>
      </c>
      <c r="I4724" s="183" t="s">
        <v>1007</v>
      </c>
      <c r="J4724" s="183" t="s">
        <v>12081</v>
      </c>
      <c r="K4724">
        <v>0</v>
      </c>
      <c r="L4724">
        <v>33</v>
      </c>
    </row>
    <row r="4725" spans="1:12">
      <c r="A4725" s="183" t="s">
        <v>1938</v>
      </c>
      <c r="B4725" s="183" t="s">
        <v>1006</v>
      </c>
      <c r="C4725">
        <v>8809867704661</v>
      </c>
      <c r="D4725">
        <v>179</v>
      </c>
      <c r="E4725">
        <v>0</v>
      </c>
      <c r="F4725">
        <v>0</v>
      </c>
      <c r="G4725">
        <v>0</v>
      </c>
      <c r="H4725">
        <v>179</v>
      </c>
      <c r="I4725" s="183" t="s">
        <v>1007</v>
      </c>
      <c r="J4725" s="183" t="s">
        <v>12091</v>
      </c>
      <c r="K4725">
        <v>0</v>
      </c>
      <c r="L4725">
        <v>179</v>
      </c>
    </row>
    <row r="4726" spans="1:12">
      <c r="A4726" s="183" t="s">
        <v>2626</v>
      </c>
      <c r="B4726" s="183" t="s">
        <v>1042</v>
      </c>
      <c r="C4726">
        <v>8809867704807</v>
      </c>
      <c r="D4726">
        <v>101</v>
      </c>
      <c r="E4726">
        <v>0</v>
      </c>
      <c r="F4726">
        <v>0</v>
      </c>
      <c r="G4726">
        <v>0</v>
      </c>
      <c r="H4726">
        <v>101</v>
      </c>
      <c r="I4726" s="183" t="s">
        <v>1043</v>
      </c>
      <c r="J4726" s="183" t="s">
        <v>12093</v>
      </c>
      <c r="K4726">
        <v>0</v>
      </c>
      <c r="L4726">
        <v>101</v>
      </c>
    </row>
    <row r="4727" spans="1:12">
      <c r="A4727" s="183" t="s">
        <v>1401</v>
      </c>
      <c r="B4727" s="183" t="s">
        <v>1042</v>
      </c>
      <c r="C4727">
        <v>8809867704937</v>
      </c>
      <c r="D4727">
        <v>60</v>
      </c>
      <c r="E4727">
        <v>0</v>
      </c>
      <c r="F4727">
        <v>0</v>
      </c>
      <c r="G4727">
        <v>0</v>
      </c>
      <c r="H4727">
        <v>60</v>
      </c>
      <c r="I4727" s="183" t="s">
        <v>1043</v>
      </c>
      <c r="J4727" s="183" t="s">
        <v>12053</v>
      </c>
      <c r="K4727">
        <v>0</v>
      </c>
      <c r="L4727">
        <v>60</v>
      </c>
    </row>
    <row r="4728" spans="1:12">
      <c r="A4728" s="183" t="s">
        <v>1761</v>
      </c>
      <c r="B4728" s="183" t="s">
        <v>1042</v>
      </c>
      <c r="C4728">
        <v>8809867705026</v>
      </c>
      <c r="D4728">
        <v>251</v>
      </c>
      <c r="E4728">
        <v>0</v>
      </c>
      <c r="F4728">
        <v>0</v>
      </c>
      <c r="G4728">
        <v>0</v>
      </c>
      <c r="H4728">
        <v>251</v>
      </c>
      <c r="I4728" s="183" t="s">
        <v>1043</v>
      </c>
      <c r="J4728" s="183" t="s">
        <v>12059</v>
      </c>
      <c r="K4728">
        <v>0</v>
      </c>
      <c r="L4728">
        <v>251</v>
      </c>
    </row>
    <row r="4729" spans="1:12">
      <c r="A4729" s="183" t="s">
        <v>2573</v>
      </c>
      <c r="B4729" s="183" t="s">
        <v>1178</v>
      </c>
      <c r="C4729">
        <v>8809867705118</v>
      </c>
      <c r="D4729">
        <v>124</v>
      </c>
      <c r="E4729">
        <v>0</v>
      </c>
      <c r="F4729">
        <v>0</v>
      </c>
      <c r="G4729">
        <v>0</v>
      </c>
      <c r="H4729">
        <v>124</v>
      </c>
      <c r="I4729" s="183" t="s">
        <v>1179</v>
      </c>
      <c r="J4729" s="183" t="s">
        <v>12091</v>
      </c>
      <c r="K4729">
        <v>0</v>
      </c>
      <c r="L4729">
        <v>124</v>
      </c>
    </row>
    <row r="4730" spans="1:12">
      <c r="A4730" s="183" t="s">
        <v>1584</v>
      </c>
      <c r="B4730" s="183" t="s">
        <v>1178</v>
      </c>
      <c r="C4730">
        <v>8809867705224</v>
      </c>
      <c r="D4730">
        <v>159</v>
      </c>
      <c r="E4730">
        <v>0</v>
      </c>
      <c r="F4730">
        <v>0</v>
      </c>
      <c r="G4730">
        <v>0</v>
      </c>
      <c r="H4730">
        <v>159</v>
      </c>
      <c r="I4730" s="183" t="s">
        <v>1179</v>
      </c>
      <c r="J4730" s="183" t="s">
        <v>12091</v>
      </c>
      <c r="K4730">
        <v>0</v>
      </c>
      <c r="L4730">
        <v>159</v>
      </c>
    </row>
    <row r="4731" spans="1:12">
      <c r="A4731" s="183" t="s">
        <v>1294</v>
      </c>
      <c r="B4731" s="183" t="s">
        <v>1178</v>
      </c>
      <c r="C4731">
        <v>8809867705231</v>
      </c>
      <c r="D4731">
        <v>145</v>
      </c>
      <c r="E4731">
        <v>0</v>
      </c>
      <c r="F4731">
        <v>0</v>
      </c>
      <c r="G4731">
        <v>0</v>
      </c>
      <c r="H4731">
        <v>145</v>
      </c>
      <c r="I4731" s="183" t="s">
        <v>1179</v>
      </c>
      <c r="J4731" s="183" t="s">
        <v>12054</v>
      </c>
      <c r="K4731">
        <v>0</v>
      </c>
      <c r="L4731">
        <v>145</v>
      </c>
    </row>
    <row r="4732" spans="1:12">
      <c r="A4732" s="183" t="s">
        <v>2585</v>
      </c>
      <c r="B4732" s="183" t="s">
        <v>1178</v>
      </c>
      <c r="C4732">
        <v>8809867705255</v>
      </c>
      <c r="D4732">
        <v>153</v>
      </c>
      <c r="E4732">
        <v>0</v>
      </c>
      <c r="F4732">
        <v>0</v>
      </c>
      <c r="G4732">
        <v>0</v>
      </c>
      <c r="H4732">
        <v>153</v>
      </c>
      <c r="I4732" s="183" t="s">
        <v>1179</v>
      </c>
      <c r="J4732" s="183" t="s">
        <v>12060</v>
      </c>
      <c r="K4732">
        <v>0</v>
      </c>
      <c r="L4732">
        <v>153</v>
      </c>
    </row>
    <row r="4733" spans="1:12">
      <c r="A4733" s="183" t="s">
        <v>2594</v>
      </c>
      <c r="B4733" s="183" t="s">
        <v>1178</v>
      </c>
      <c r="C4733">
        <v>8809867705279</v>
      </c>
      <c r="D4733">
        <v>257</v>
      </c>
      <c r="E4733">
        <v>0</v>
      </c>
      <c r="F4733">
        <v>0</v>
      </c>
      <c r="G4733">
        <v>0</v>
      </c>
      <c r="H4733">
        <v>257</v>
      </c>
      <c r="I4733" s="183" t="s">
        <v>1179</v>
      </c>
      <c r="J4733" s="183" t="s">
        <v>12053</v>
      </c>
      <c r="K4733">
        <v>0</v>
      </c>
      <c r="L4733">
        <v>257</v>
      </c>
    </row>
    <row r="4734" spans="1:12">
      <c r="A4734" s="183" t="s">
        <v>3299</v>
      </c>
      <c r="B4734" s="183" t="s">
        <v>3300</v>
      </c>
      <c r="C4734">
        <v>8809959704036</v>
      </c>
      <c r="D4734">
        <v>243</v>
      </c>
      <c r="E4734">
        <v>0</v>
      </c>
      <c r="F4734">
        <v>0</v>
      </c>
      <c r="G4734">
        <v>0</v>
      </c>
      <c r="H4734">
        <v>243</v>
      </c>
      <c r="I4734" s="183" t="s">
        <v>3278</v>
      </c>
      <c r="J4734" s="183" t="s">
        <v>12059</v>
      </c>
      <c r="K4734">
        <v>0</v>
      </c>
      <c r="L4734">
        <v>243</v>
      </c>
    </row>
    <row r="4735" spans="1:12">
      <c r="A4735" s="183" t="s">
        <v>3315</v>
      </c>
      <c r="B4735" s="183" t="s">
        <v>3316</v>
      </c>
      <c r="C4735">
        <v>8809959704142</v>
      </c>
      <c r="D4735">
        <v>138</v>
      </c>
      <c r="E4735">
        <v>0</v>
      </c>
      <c r="F4735">
        <v>0</v>
      </c>
      <c r="G4735">
        <v>0</v>
      </c>
      <c r="H4735">
        <v>138</v>
      </c>
      <c r="I4735" s="183" t="s">
        <v>3278</v>
      </c>
      <c r="J4735" s="183" t="s">
        <v>12094</v>
      </c>
      <c r="K4735">
        <v>0</v>
      </c>
      <c r="L4735">
        <v>138</v>
      </c>
    </row>
    <row r="4736" spans="1:12">
      <c r="A4736" s="183" t="s">
        <v>3233</v>
      </c>
      <c r="B4736" s="183" t="s">
        <v>3234</v>
      </c>
      <c r="C4736">
        <v>8809959704227</v>
      </c>
      <c r="D4736">
        <v>164</v>
      </c>
      <c r="E4736">
        <v>0</v>
      </c>
      <c r="F4736">
        <v>0</v>
      </c>
      <c r="G4736">
        <v>0</v>
      </c>
      <c r="H4736">
        <v>164</v>
      </c>
      <c r="I4736" s="183" t="s">
        <v>3235</v>
      </c>
      <c r="J4736" s="183" t="s">
        <v>12053</v>
      </c>
      <c r="K4736">
        <v>0</v>
      </c>
      <c r="L4736">
        <v>164</v>
      </c>
    </row>
    <row r="4737" spans="1:12">
      <c r="A4737" s="183" t="s">
        <v>3252</v>
      </c>
      <c r="B4737" s="183" t="s">
        <v>3253</v>
      </c>
      <c r="C4737">
        <v>8809959704395</v>
      </c>
      <c r="D4737">
        <v>2</v>
      </c>
      <c r="E4737">
        <v>0</v>
      </c>
      <c r="F4737">
        <v>0</v>
      </c>
      <c r="G4737">
        <v>0</v>
      </c>
      <c r="H4737">
        <v>2</v>
      </c>
      <c r="I4737" s="183" t="s">
        <v>3235</v>
      </c>
      <c r="J4737" s="183" t="s">
        <v>12059</v>
      </c>
      <c r="K4737">
        <v>0</v>
      </c>
      <c r="L4737">
        <v>2</v>
      </c>
    </row>
    <row r="4738" spans="1:12">
      <c r="A4738" s="183" t="s">
        <v>1303</v>
      </c>
      <c r="B4738" s="183" t="s">
        <v>982</v>
      </c>
      <c r="C4738">
        <v>18800206</v>
      </c>
      <c r="D4738" s="501">
        <v>1002</v>
      </c>
      <c r="E4738">
        <v>0</v>
      </c>
      <c r="F4738">
        <v>0</v>
      </c>
      <c r="G4738">
        <v>0</v>
      </c>
      <c r="H4738" s="501">
        <v>1002</v>
      </c>
      <c r="I4738" s="183" t="s">
        <v>983</v>
      </c>
      <c r="J4738" s="183" t="s">
        <v>12091</v>
      </c>
      <c r="K4738">
        <v>0</v>
      </c>
      <c r="L4738" s="501">
        <v>1002</v>
      </c>
    </row>
    <row r="4739" spans="1:12">
      <c r="A4739" s="183" t="s">
        <v>1399</v>
      </c>
      <c r="B4739" s="183" t="s">
        <v>982</v>
      </c>
      <c r="C4739">
        <v>18800219</v>
      </c>
      <c r="D4739" s="501">
        <v>1675</v>
      </c>
      <c r="E4739">
        <v>0</v>
      </c>
      <c r="F4739">
        <v>0</v>
      </c>
      <c r="G4739">
        <v>0</v>
      </c>
      <c r="H4739" s="501">
        <v>1675</v>
      </c>
      <c r="I4739" s="183" t="s">
        <v>983</v>
      </c>
      <c r="J4739" s="183" t="s">
        <v>12067</v>
      </c>
      <c r="K4739">
        <v>0</v>
      </c>
      <c r="L4739" s="501">
        <v>1675</v>
      </c>
    </row>
    <row r="4740" spans="1:12">
      <c r="A4740" s="183" t="s">
        <v>1184</v>
      </c>
      <c r="B4740" s="183" t="s">
        <v>1035</v>
      </c>
      <c r="C4740">
        <v>18810204</v>
      </c>
      <c r="D4740">
        <v>946</v>
      </c>
      <c r="E4740">
        <v>0</v>
      </c>
      <c r="F4740">
        <v>0</v>
      </c>
      <c r="G4740">
        <v>0</v>
      </c>
      <c r="H4740">
        <v>946</v>
      </c>
      <c r="I4740" s="183" t="s">
        <v>1036</v>
      </c>
      <c r="J4740" s="183" t="s">
        <v>12094</v>
      </c>
      <c r="K4740">
        <v>0</v>
      </c>
      <c r="L4740">
        <v>946</v>
      </c>
    </row>
    <row r="4741" spans="1:12">
      <c r="A4741" s="183" t="s">
        <v>1296</v>
      </c>
      <c r="B4741" s="183" t="s">
        <v>1035</v>
      </c>
      <c r="C4741">
        <v>18810206</v>
      </c>
      <c r="D4741" s="501">
        <v>1634</v>
      </c>
      <c r="E4741">
        <v>0</v>
      </c>
      <c r="F4741">
        <v>0</v>
      </c>
      <c r="G4741">
        <v>0</v>
      </c>
      <c r="H4741" s="501">
        <v>1634</v>
      </c>
      <c r="I4741" s="183" t="s">
        <v>1036</v>
      </c>
      <c r="J4741" s="183" t="s">
        <v>12081</v>
      </c>
      <c r="K4741">
        <v>0</v>
      </c>
      <c r="L4741" s="501">
        <v>1634</v>
      </c>
    </row>
    <row r="4742" spans="1:12">
      <c r="A4742" s="183" t="s">
        <v>1103</v>
      </c>
      <c r="B4742" s="183" t="s">
        <v>1035</v>
      </c>
      <c r="C4742">
        <v>18810208</v>
      </c>
      <c r="D4742" s="501">
        <v>3095</v>
      </c>
      <c r="E4742">
        <v>0</v>
      </c>
      <c r="F4742">
        <v>0</v>
      </c>
      <c r="G4742">
        <v>0</v>
      </c>
      <c r="H4742" s="501">
        <v>3095</v>
      </c>
      <c r="I4742" s="183" t="s">
        <v>1036</v>
      </c>
      <c r="J4742" s="183" t="s">
        <v>12081</v>
      </c>
      <c r="K4742">
        <v>0</v>
      </c>
      <c r="L4742" s="501">
        <v>3095</v>
      </c>
    </row>
    <row r="4743" spans="1:12">
      <c r="A4743" s="183" t="s">
        <v>1295</v>
      </c>
      <c r="B4743" s="183" t="s">
        <v>1035</v>
      </c>
      <c r="C4743">
        <v>18810217</v>
      </c>
      <c r="D4743" s="501">
        <v>1814</v>
      </c>
      <c r="E4743">
        <v>0</v>
      </c>
      <c r="F4743">
        <v>0</v>
      </c>
      <c r="G4743">
        <v>0</v>
      </c>
      <c r="H4743" s="501">
        <v>1814</v>
      </c>
      <c r="I4743" s="183" t="s">
        <v>1036</v>
      </c>
      <c r="J4743" s="183" t="s">
        <v>12081</v>
      </c>
      <c r="K4743">
        <v>0</v>
      </c>
      <c r="L4743" s="501">
        <v>1814</v>
      </c>
    </row>
    <row r="4744" spans="1:12">
      <c r="A4744" s="183" t="s">
        <v>1753</v>
      </c>
      <c r="B4744" s="183" t="s">
        <v>1203</v>
      </c>
      <c r="C4744">
        <v>18830200</v>
      </c>
      <c r="D4744" s="501">
        <v>2372</v>
      </c>
      <c r="E4744">
        <v>0</v>
      </c>
      <c r="F4744">
        <v>0</v>
      </c>
      <c r="G4744">
        <v>0</v>
      </c>
      <c r="H4744" s="501">
        <v>2372</v>
      </c>
      <c r="I4744" s="183" t="s">
        <v>1204</v>
      </c>
      <c r="J4744" s="183" t="s">
        <v>12091</v>
      </c>
      <c r="K4744">
        <v>0</v>
      </c>
      <c r="L4744" s="501">
        <v>2372</v>
      </c>
    </row>
    <row r="4745" spans="1:12">
      <c r="A4745" s="183" t="s">
        <v>1587</v>
      </c>
      <c r="B4745" s="183" t="s">
        <v>1203</v>
      </c>
      <c r="C4745">
        <v>18830219</v>
      </c>
      <c r="D4745" s="501">
        <v>2404</v>
      </c>
      <c r="E4745">
        <v>0</v>
      </c>
      <c r="F4745">
        <v>0</v>
      </c>
      <c r="G4745">
        <v>0</v>
      </c>
      <c r="H4745" s="501">
        <v>2404</v>
      </c>
      <c r="I4745" s="183" t="s">
        <v>1204</v>
      </c>
      <c r="J4745" s="183" t="s">
        <v>12085</v>
      </c>
      <c r="K4745">
        <v>0</v>
      </c>
      <c r="L4745" s="501">
        <v>2404</v>
      </c>
    </row>
    <row r="4746" spans="1:12">
      <c r="A4746" s="183" t="s">
        <v>2574</v>
      </c>
      <c r="B4746" s="183" t="s">
        <v>1203</v>
      </c>
      <c r="C4746">
        <v>18830221</v>
      </c>
      <c r="D4746" s="501">
        <v>1898</v>
      </c>
      <c r="E4746">
        <v>0</v>
      </c>
      <c r="F4746">
        <v>0</v>
      </c>
      <c r="G4746">
        <v>0</v>
      </c>
      <c r="H4746" s="501">
        <v>1898</v>
      </c>
      <c r="I4746" s="183" t="s">
        <v>1204</v>
      </c>
      <c r="J4746" s="183" t="s">
        <v>12085</v>
      </c>
      <c r="K4746">
        <v>0</v>
      </c>
      <c r="L4746" s="501">
        <v>1898</v>
      </c>
    </row>
    <row r="4747" spans="1:12">
      <c r="A4747" s="183" t="s">
        <v>2370</v>
      </c>
      <c r="B4747" s="183" t="s">
        <v>1203</v>
      </c>
      <c r="C4747">
        <v>18830222</v>
      </c>
      <c r="D4747" s="501">
        <v>1410</v>
      </c>
      <c r="E4747">
        <v>0</v>
      </c>
      <c r="F4747">
        <v>0</v>
      </c>
      <c r="G4747">
        <v>0</v>
      </c>
      <c r="H4747" s="501">
        <v>1410</v>
      </c>
      <c r="I4747" s="183" t="s">
        <v>1204</v>
      </c>
      <c r="J4747" s="183" t="s">
        <v>12095</v>
      </c>
      <c r="K4747">
        <v>0</v>
      </c>
      <c r="L4747" s="501">
        <v>1410</v>
      </c>
    </row>
    <row r="4748" spans="1:12">
      <c r="A4748" s="183" t="s">
        <v>2615</v>
      </c>
      <c r="B4748" s="183" t="s">
        <v>1203</v>
      </c>
      <c r="C4748">
        <v>18830224</v>
      </c>
      <c r="D4748" s="501">
        <v>1395</v>
      </c>
      <c r="E4748">
        <v>0</v>
      </c>
      <c r="F4748">
        <v>0</v>
      </c>
      <c r="G4748">
        <v>0</v>
      </c>
      <c r="H4748" s="501">
        <v>1395</v>
      </c>
      <c r="I4748" s="183" t="s">
        <v>1204</v>
      </c>
      <c r="J4748" s="183" t="s">
        <v>12087</v>
      </c>
      <c r="K4748">
        <v>0</v>
      </c>
      <c r="L4748" s="501">
        <v>1395</v>
      </c>
    </row>
    <row r="4749" spans="1:12">
      <c r="A4749" s="183" t="s">
        <v>2252</v>
      </c>
      <c r="B4749" s="183" t="s">
        <v>1203</v>
      </c>
      <c r="C4749">
        <v>18830226</v>
      </c>
      <c r="D4749" s="501">
        <v>1720</v>
      </c>
      <c r="E4749">
        <v>0</v>
      </c>
      <c r="F4749">
        <v>0</v>
      </c>
      <c r="G4749">
        <v>0</v>
      </c>
      <c r="H4749" s="501">
        <v>1720</v>
      </c>
      <c r="I4749" s="183" t="s">
        <v>1204</v>
      </c>
      <c r="J4749" s="183" t="s">
        <v>12095</v>
      </c>
      <c r="K4749">
        <v>0</v>
      </c>
      <c r="L4749" s="501">
        <v>1720</v>
      </c>
    </row>
    <row r="4750" spans="1:12">
      <c r="A4750" s="183" t="s">
        <v>1748</v>
      </c>
      <c r="B4750" s="183" t="s">
        <v>1206</v>
      </c>
      <c r="C4750">
        <v>18840234</v>
      </c>
      <c r="D4750" s="501">
        <v>2088</v>
      </c>
      <c r="E4750">
        <v>0</v>
      </c>
      <c r="F4750">
        <v>0</v>
      </c>
      <c r="G4750">
        <v>0</v>
      </c>
      <c r="H4750" s="501">
        <v>2088</v>
      </c>
      <c r="I4750" s="183" t="s">
        <v>1207</v>
      </c>
      <c r="J4750" s="183" t="s">
        <v>12081</v>
      </c>
      <c r="K4750">
        <v>0</v>
      </c>
      <c r="L4750" s="501">
        <v>2088</v>
      </c>
    </row>
    <row r="4751" spans="1:12">
      <c r="A4751" s="183" t="s">
        <v>6377</v>
      </c>
      <c r="B4751" s="183" t="s">
        <v>6338</v>
      </c>
      <c r="C4751">
        <v>8806392046495</v>
      </c>
      <c r="D4751">
        <v>323</v>
      </c>
      <c r="E4751">
        <v>0</v>
      </c>
      <c r="F4751">
        <v>0</v>
      </c>
      <c r="G4751">
        <v>0</v>
      </c>
      <c r="H4751">
        <v>323</v>
      </c>
      <c r="I4751" s="183" t="s">
        <v>6339</v>
      </c>
      <c r="J4751" s="183" t="s">
        <v>12081</v>
      </c>
      <c r="K4751">
        <v>0</v>
      </c>
      <c r="L4751">
        <v>323</v>
      </c>
    </row>
    <row r="4752" spans="1:12">
      <c r="A4752" s="183" t="s">
        <v>6378</v>
      </c>
      <c r="B4752" s="183" t="s">
        <v>6338</v>
      </c>
      <c r="C4752">
        <v>8806392046532</v>
      </c>
      <c r="D4752">
        <v>608</v>
      </c>
      <c r="E4752">
        <v>0</v>
      </c>
      <c r="F4752">
        <v>1</v>
      </c>
      <c r="G4752">
        <v>0</v>
      </c>
      <c r="H4752">
        <v>609</v>
      </c>
      <c r="I4752" s="183" t="s">
        <v>6339</v>
      </c>
      <c r="J4752" s="183" t="s">
        <v>12067</v>
      </c>
      <c r="K4752">
        <v>0</v>
      </c>
      <c r="L4752">
        <v>608</v>
      </c>
    </row>
    <row r="4753" spans="1:12">
      <c r="A4753" s="183" t="s">
        <v>6347</v>
      </c>
      <c r="B4753" s="183" t="s">
        <v>6338</v>
      </c>
      <c r="C4753">
        <v>8806392046617</v>
      </c>
      <c r="D4753">
        <v>416</v>
      </c>
      <c r="E4753">
        <v>0</v>
      </c>
      <c r="F4753">
        <v>1</v>
      </c>
      <c r="G4753">
        <v>0</v>
      </c>
      <c r="H4753">
        <v>417</v>
      </c>
      <c r="I4753" s="183" t="s">
        <v>6339</v>
      </c>
      <c r="J4753" s="183" t="s">
        <v>12067</v>
      </c>
      <c r="K4753">
        <v>0</v>
      </c>
      <c r="L4753">
        <v>416</v>
      </c>
    </row>
    <row r="4754" spans="1:12">
      <c r="A4754" s="183" t="s">
        <v>12009</v>
      </c>
      <c r="B4754" s="183" t="s">
        <v>6338</v>
      </c>
      <c r="C4754">
        <v>8806392046631</v>
      </c>
      <c r="D4754">
        <v>844</v>
      </c>
      <c r="E4754">
        <v>0</v>
      </c>
      <c r="F4754">
        <v>0</v>
      </c>
      <c r="G4754">
        <v>0</v>
      </c>
      <c r="H4754">
        <v>844</v>
      </c>
      <c r="I4754" s="183" t="s">
        <v>6339</v>
      </c>
      <c r="J4754" s="183" t="s">
        <v>12081</v>
      </c>
      <c r="K4754">
        <v>0</v>
      </c>
      <c r="L4754">
        <v>844</v>
      </c>
    </row>
    <row r="4755" spans="1:12">
      <c r="A4755" s="183" t="s">
        <v>6393</v>
      </c>
      <c r="B4755" s="183" t="s">
        <v>6338</v>
      </c>
      <c r="C4755">
        <v>8806392046655</v>
      </c>
      <c r="D4755">
        <v>443</v>
      </c>
      <c r="E4755">
        <v>0</v>
      </c>
      <c r="F4755">
        <v>4</v>
      </c>
      <c r="G4755">
        <v>0</v>
      </c>
      <c r="H4755">
        <v>447</v>
      </c>
      <c r="I4755" s="183" t="s">
        <v>6339</v>
      </c>
      <c r="J4755" s="183" t="s">
        <v>12060</v>
      </c>
      <c r="K4755">
        <v>0</v>
      </c>
      <c r="L4755">
        <v>443</v>
      </c>
    </row>
    <row r="4756" spans="1:12">
      <c r="A4756" s="183" t="s">
        <v>6397</v>
      </c>
      <c r="B4756" s="183" t="s">
        <v>6338</v>
      </c>
      <c r="C4756">
        <v>8806392046662</v>
      </c>
      <c r="D4756">
        <v>466</v>
      </c>
      <c r="E4756">
        <v>0</v>
      </c>
      <c r="F4756">
        <v>0</v>
      </c>
      <c r="G4756">
        <v>0</v>
      </c>
      <c r="H4756">
        <v>466</v>
      </c>
      <c r="I4756" s="183" t="s">
        <v>6339</v>
      </c>
      <c r="J4756" s="183" t="s">
        <v>12054</v>
      </c>
      <c r="K4756">
        <v>0</v>
      </c>
      <c r="L4756">
        <v>466</v>
      </c>
    </row>
    <row r="4757" spans="1:12">
      <c r="A4757" s="183" t="s">
        <v>6348</v>
      </c>
      <c r="B4757" s="183" t="s">
        <v>6338</v>
      </c>
      <c r="C4757">
        <v>8806392046693</v>
      </c>
      <c r="D4757">
        <v>242</v>
      </c>
      <c r="E4757">
        <v>0</v>
      </c>
      <c r="F4757">
        <v>0</v>
      </c>
      <c r="G4757">
        <v>0</v>
      </c>
      <c r="H4757">
        <v>242</v>
      </c>
      <c r="I4757" s="183" t="s">
        <v>6339</v>
      </c>
      <c r="J4757" s="183" t="s">
        <v>12053</v>
      </c>
      <c r="K4757">
        <v>0</v>
      </c>
      <c r="L4757">
        <v>242</v>
      </c>
    </row>
    <row r="4758" spans="1:12">
      <c r="A4758" s="183" t="s">
        <v>3838</v>
      </c>
      <c r="B4758" s="183" t="s">
        <v>1029</v>
      </c>
      <c r="C4758">
        <v>8806392046785</v>
      </c>
      <c r="D4758">
        <v>456</v>
      </c>
      <c r="E4758">
        <v>0</v>
      </c>
      <c r="F4758">
        <v>1</v>
      </c>
      <c r="G4758">
        <v>0</v>
      </c>
      <c r="H4758">
        <v>457</v>
      </c>
      <c r="I4758" s="183" t="s">
        <v>1030</v>
      </c>
      <c r="J4758" s="183" t="s">
        <v>12081</v>
      </c>
      <c r="K4758">
        <v>0</v>
      </c>
      <c r="L4758">
        <v>456</v>
      </c>
    </row>
    <row r="4759" spans="1:12">
      <c r="A4759" s="183" t="s">
        <v>1185</v>
      </c>
      <c r="B4759" s="183" t="s">
        <v>1029</v>
      </c>
      <c r="C4759">
        <v>8806392046808</v>
      </c>
      <c r="D4759">
        <v>373</v>
      </c>
      <c r="E4759">
        <v>0</v>
      </c>
      <c r="F4759">
        <v>0</v>
      </c>
      <c r="G4759">
        <v>0</v>
      </c>
      <c r="H4759">
        <v>373</v>
      </c>
      <c r="I4759" s="183" t="s">
        <v>1030</v>
      </c>
      <c r="J4759" s="183" t="s">
        <v>12093</v>
      </c>
      <c r="K4759">
        <v>0</v>
      </c>
      <c r="L4759">
        <v>373</v>
      </c>
    </row>
    <row r="4760" spans="1:12">
      <c r="A4760" s="183" t="s">
        <v>6283</v>
      </c>
      <c r="B4760" s="183" t="s">
        <v>1029</v>
      </c>
      <c r="C4760">
        <v>8806392046877</v>
      </c>
      <c r="D4760">
        <v>327</v>
      </c>
      <c r="E4760">
        <v>0</v>
      </c>
      <c r="F4760">
        <v>0</v>
      </c>
      <c r="G4760">
        <v>0</v>
      </c>
      <c r="H4760">
        <v>327</v>
      </c>
      <c r="I4760" s="183" t="s">
        <v>1030</v>
      </c>
      <c r="J4760" s="183" t="s">
        <v>12092</v>
      </c>
      <c r="K4760">
        <v>0</v>
      </c>
      <c r="L4760">
        <v>327</v>
      </c>
    </row>
    <row r="4761" spans="1:12">
      <c r="A4761" s="183" t="s">
        <v>6284</v>
      </c>
      <c r="B4761" s="183" t="s">
        <v>1029</v>
      </c>
      <c r="C4761">
        <v>8806392046884</v>
      </c>
      <c r="D4761">
        <v>403</v>
      </c>
      <c r="E4761">
        <v>0</v>
      </c>
      <c r="F4761">
        <v>0</v>
      </c>
      <c r="G4761">
        <v>0</v>
      </c>
      <c r="H4761">
        <v>403</v>
      </c>
      <c r="I4761" s="183" t="s">
        <v>1030</v>
      </c>
      <c r="J4761" s="183" t="s">
        <v>12091</v>
      </c>
      <c r="K4761">
        <v>0</v>
      </c>
      <c r="L4761">
        <v>403</v>
      </c>
    </row>
    <row r="4762" spans="1:12">
      <c r="A4762" s="183" t="s">
        <v>1588</v>
      </c>
      <c r="B4762" s="183" t="s">
        <v>1029</v>
      </c>
      <c r="C4762">
        <v>8806392047041</v>
      </c>
      <c r="D4762" s="501">
        <v>2434</v>
      </c>
      <c r="E4762">
        <v>0</v>
      </c>
      <c r="F4762">
        <v>1</v>
      </c>
      <c r="G4762">
        <v>0</v>
      </c>
      <c r="H4762" s="501">
        <v>2435</v>
      </c>
      <c r="I4762" s="183" t="s">
        <v>1030</v>
      </c>
      <c r="J4762" s="183" t="s">
        <v>12093</v>
      </c>
      <c r="K4762">
        <v>0</v>
      </c>
      <c r="L4762" s="501">
        <v>2434</v>
      </c>
    </row>
    <row r="4763" spans="1:12">
      <c r="A4763" s="183" t="s">
        <v>634</v>
      </c>
      <c r="B4763" s="183" t="s">
        <v>1026</v>
      </c>
      <c r="C4763">
        <v>8806392047102</v>
      </c>
      <c r="D4763">
        <v>309</v>
      </c>
      <c r="E4763">
        <v>0</v>
      </c>
      <c r="F4763">
        <v>0</v>
      </c>
      <c r="G4763">
        <v>0</v>
      </c>
      <c r="H4763">
        <v>309</v>
      </c>
      <c r="I4763" s="183" t="s">
        <v>1027</v>
      </c>
      <c r="J4763" s="183" t="s">
        <v>12053</v>
      </c>
      <c r="K4763">
        <v>0</v>
      </c>
      <c r="L4763">
        <v>309</v>
      </c>
    </row>
    <row r="4764" spans="1:12">
      <c r="A4764" s="183" t="s">
        <v>3786</v>
      </c>
      <c r="B4764" s="183" t="s">
        <v>1026</v>
      </c>
      <c r="C4764">
        <v>8806392047133</v>
      </c>
      <c r="D4764">
        <v>38</v>
      </c>
      <c r="E4764">
        <v>0</v>
      </c>
      <c r="F4764">
        <v>0</v>
      </c>
      <c r="G4764">
        <v>0</v>
      </c>
      <c r="H4764">
        <v>38</v>
      </c>
      <c r="I4764" s="183" t="s">
        <v>1027</v>
      </c>
      <c r="J4764" s="183" t="s">
        <v>12067</v>
      </c>
      <c r="K4764">
        <v>0</v>
      </c>
      <c r="L4764">
        <v>38</v>
      </c>
    </row>
    <row r="4765" spans="1:12">
      <c r="A4765" s="183" t="s">
        <v>3153</v>
      </c>
      <c r="B4765" s="183" t="s">
        <v>1026</v>
      </c>
      <c r="C4765">
        <v>8806392047225</v>
      </c>
      <c r="D4765">
        <v>608</v>
      </c>
      <c r="E4765">
        <v>0</v>
      </c>
      <c r="F4765">
        <v>0</v>
      </c>
      <c r="G4765">
        <v>0</v>
      </c>
      <c r="H4765">
        <v>608</v>
      </c>
      <c r="I4765" s="183" t="s">
        <v>1027</v>
      </c>
      <c r="J4765" s="183" t="s">
        <v>12053</v>
      </c>
      <c r="K4765">
        <v>0</v>
      </c>
      <c r="L4765">
        <v>608</v>
      </c>
    </row>
    <row r="4766" spans="1:12">
      <c r="A4766" s="183" t="s">
        <v>2979</v>
      </c>
      <c r="B4766" s="183" t="s">
        <v>1026</v>
      </c>
      <c r="C4766">
        <v>8806392047232</v>
      </c>
      <c r="D4766" s="501">
        <v>1043</v>
      </c>
      <c r="E4766">
        <v>0</v>
      </c>
      <c r="F4766">
        <v>0</v>
      </c>
      <c r="G4766">
        <v>0</v>
      </c>
      <c r="H4766" s="501">
        <v>1043</v>
      </c>
      <c r="I4766" s="183" t="s">
        <v>1027</v>
      </c>
      <c r="J4766" s="183" t="s">
        <v>12081</v>
      </c>
      <c r="K4766">
        <v>0</v>
      </c>
      <c r="L4766" s="501">
        <v>1043</v>
      </c>
    </row>
    <row r="4767" spans="1:12">
      <c r="A4767" s="183" t="s">
        <v>640</v>
      </c>
      <c r="B4767" s="183" t="s">
        <v>1026</v>
      </c>
      <c r="C4767">
        <v>8806392047300</v>
      </c>
      <c r="D4767" s="501">
        <v>1201</v>
      </c>
      <c r="E4767">
        <v>0</v>
      </c>
      <c r="F4767">
        <v>0</v>
      </c>
      <c r="G4767">
        <v>0</v>
      </c>
      <c r="H4767" s="501">
        <v>1201</v>
      </c>
      <c r="I4767" s="183" t="s">
        <v>1027</v>
      </c>
      <c r="J4767" s="183" t="s">
        <v>12081</v>
      </c>
      <c r="K4767">
        <v>0</v>
      </c>
      <c r="L4767" s="501">
        <v>1201</v>
      </c>
    </row>
    <row r="4768" spans="1:12">
      <c r="A4768" s="183" t="s">
        <v>643</v>
      </c>
      <c r="B4768" s="183" t="s">
        <v>1026</v>
      </c>
      <c r="C4768">
        <v>8806392047348</v>
      </c>
      <c r="D4768" s="501">
        <v>2006</v>
      </c>
      <c r="E4768">
        <v>0</v>
      </c>
      <c r="F4768">
        <v>0</v>
      </c>
      <c r="G4768">
        <v>0</v>
      </c>
      <c r="H4768" s="501">
        <v>2006</v>
      </c>
      <c r="I4768" s="183" t="s">
        <v>1027</v>
      </c>
      <c r="J4768" s="183" t="s">
        <v>12053</v>
      </c>
      <c r="K4768">
        <v>0</v>
      </c>
      <c r="L4768" s="501">
        <v>2006</v>
      </c>
    </row>
    <row r="4769" spans="1:12">
      <c r="A4769" s="183" t="s">
        <v>1932</v>
      </c>
      <c r="B4769" s="183" t="s">
        <v>1455</v>
      </c>
      <c r="C4769">
        <v>8809867707624</v>
      </c>
      <c r="D4769">
        <v>976</v>
      </c>
      <c r="E4769">
        <v>0</v>
      </c>
      <c r="F4769">
        <v>0</v>
      </c>
      <c r="G4769">
        <v>0</v>
      </c>
      <c r="H4769">
        <v>976</v>
      </c>
      <c r="I4769" s="183" t="s">
        <v>1456</v>
      </c>
      <c r="J4769" s="183" t="s">
        <v>12085</v>
      </c>
      <c r="K4769">
        <v>0</v>
      </c>
      <c r="L4769">
        <v>976</v>
      </c>
    </row>
    <row r="4770" spans="1:12">
      <c r="A4770" s="183" t="s">
        <v>2374</v>
      </c>
      <c r="B4770" s="183" t="s">
        <v>1455</v>
      </c>
      <c r="C4770">
        <v>8809867707679</v>
      </c>
      <c r="D4770">
        <v>592</v>
      </c>
      <c r="E4770">
        <v>0</v>
      </c>
      <c r="F4770">
        <v>0</v>
      </c>
      <c r="G4770">
        <v>0</v>
      </c>
      <c r="H4770">
        <v>592</v>
      </c>
      <c r="I4770" s="183" t="s">
        <v>1456</v>
      </c>
      <c r="J4770" s="183" t="s">
        <v>12095</v>
      </c>
      <c r="K4770">
        <v>0</v>
      </c>
      <c r="L4770">
        <v>592</v>
      </c>
    </row>
    <row r="4771" spans="1:12">
      <c r="A4771" s="183" t="s">
        <v>2618</v>
      </c>
      <c r="B4771" s="183" t="s">
        <v>1455</v>
      </c>
      <c r="C4771">
        <v>8809867707808</v>
      </c>
      <c r="D4771">
        <v>879</v>
      </c>
      <c r="E4771">
        <v>0</v>
      </c>
      <c r="F4771">
        <v>0</v>
      </c>
      <c r="G4771">
        <v>0</v>
      </c>
      <c r="H4771">
        <v>879</v>
      </c>
      <c r="I4771" s="183" t="s">
        <v>1456</v>
      </c>
      <c r="J4771" s="183" t="s">
        <v>12087</v>
      </c>
      <c r="K4771">
        <v>0</v>
      </c>
      <c r="L4771">
        <v>879</v>
      </c>
    </row>
    <row r="4772" spans="1:12">
      <c r="A4772" s="183" t="s">
        <v>3521</v>
      </c>
      <c r="B4772" s="183" t="s">
        <v>1069</v>
      </c>
      <c r="C4772">
        <v>8806392047737</v>
      </c>
      <c r="D4772" s="501">
        <v>1049</v>
      </c>
      <c r="E4772">
        <v>0</v>
      </c>
      <c r="F4772">
        <v>0</v>
      </c>
      <c r="G4772">
        <v>0</v>
      </c>
      <c r="H4772" s="501">
        <v>1049</v>
      </c>
      <c r="I4772" s="183" t="s">
        <v>1070</v>
      </c>
      <c r="J4772" s="183" t="s">
        <v>12087</v>
      </c>
      <c r="K4772">
        <v>0</v>
      </c>
      <c r="L4772" s="501">
        <v>1049</v>
      </c>
    </row>
    <row r="4773" spans="1:12">
      <c r="A4773" s="183" t="s">
        <v>647</v>
      </c>
      <c r="B4773" s="183" t="s">
        <v>1069</v>
      </c>
      <c r="C4773">
        <v>8806392047744</v>
      </c>
      <c r="D4773">
        <v>794</v>
      </c>
      <c r="E4773">
        <v>0</v>
      </c>
      <c r="F4773">
        <v>0</v>
      </c>
      <c r="G4773">
        <v>0</v>
      </c>
      <c r="H4773">
        <v>794</v>
      </c>
      <c r="I4773" s="183" t="s">
        <v>1070</v>
      </c>
      <c r="J4773" s="183" t="s">
        <v>12053</v>
      </c>
      <c r="K4773">
        <v>0</v>
      </c>
      <c r="L4773">
        <v>794</v>
      </c>
    </row>
    <row r="4774" spans="1:12">
      <c r="A4774" s="183" t="s">
        <v>660</v>
      </c>
      <c r="B4774" s="183" t="s">
        <v>1069</v>
      </c>
      <c r="C4774">
        <v>8806392047973</v>
      </c>
      <c r="D4774" s="501">
        <v>1686</v>
      </c>
      <c r="E4774">
        <v>0</v>
      </c>
      <c r="F4774">
        <v>0</v>
      </c>
      <c r="G4774">
        <v>0</v>
      </c>
      <c r="H4774" s="501">
        <v>1686</v>
      </c>
      <c r="I4774" s="183" t="s">
        <v>1070</v>
      </c>
      <c r="J4774" s="183" t="s">
        <v>12092</v>
      </c>
      <c r="K4774">
        <v>0</v>
      </c>
      <c r="L4774" s="501">
        <v>1686</v>
      </c>
    </row>
    <row r="4775" spans="1:12">
      <c r="A4775" s="183" t="s">
        <v>661</v>
      </c>
      <c r="B4775" s="183" t="s">
        <v>1069</v>
      </c>
      <c r="C4775">
        <v>8806392047997</v>
      </c>
      <c r="D4775">
        <v>610</v>
      </c>
      <c r="E4775">
        <v>0</v>
      </c>
      <c r="F4775">
        <v>0</v>
      </c>
      <c r="G4775">
        <v>0</v>
      </c>
      <c r="H4775">
        <v>610</v>
      </c>
      <c r="I4775" s="183" t="s">
        <v>1070</v>
      </c>
      <c r="J4775" s="183" t="s">
        <v>12053</v>
      </c>
      <c r="K4775">
        <v>0</v>
      </c>
      <c r="L4775">
        <v>610</v>
      </c>
    </row>
    <row r="4776" spans="1:12">
      <c r="A4776" s="183" t="s">
        <v>766</v>
      </c>
      <c r="B4776" s="183" t="s">
        <v>993</v>
      </c>
      <c r="C4776">
        <v>8806392049687</v>
      </c>
      <c r="D4776">
        <v>824</v>
      </c>
      <c r="E4776">
        <v>0</v>
      </c>
      <c r="F4776">
        <v>0</v>
      </c>
      <c r="G4776">
        <v>0</v>
      </c>
      <c r="H4776">
        <v>824</v>
      </c>
      <c r="I4776" s="183" t="s">
        <v>994</v>
      </c>
      <c r="J4776" s="183" t="s">
        <v>12092</v>
      </c>
      <c r="K4776">
        <v>0</v>
      </c>
      <c r="L4776">
        <v>824</v>
      </c>
    </row>
    <row r="4777" spans="1:12">
      <c r="A4777" s="183" t="s">
        <v>767</v>
      </c>
      <c r="B4777" s="183" t="s">
        <v>993</v>
      </c>
      <c r="C4777">
        <v>8806392049731</v>
      </c>
      <c r="D4777">
        <v>664</v>
      </c>
      <c r="E4777">
        <v>0</v>
      </c>
      <c r="F4777">
        <v>0</v>
      </c>
      <c r="G4777">
        <v>0</v>
      </c>
      <c r="H4777">
        <v>664</v>
      </c>
      <c r="I4777" s="183" t="s">
        <v>994</v>
      </c>
      <c r="J4777" s="183" t="s">
        <v>12053</v>
      </c>
      <c r="K4777">
        <v>0</v>
      </c>
      <c r="L4777">
        <v>664</v>
      </c>
    </row>
    <row r="4778" spans="1:12">
      <c r="A4778" s="183" t="s">
        <v>3127</v>
      </c>
      <c r="B4778" s="183" t="s">
        <v>3128</v>
      </c>
      <c r="C4778">
        <v>8800143693211</v>
      </c>
      <c r="D4778">
        <v>526</v>
      </c>
      <c r="E4778">
        <v>0</v>
      </c>
      <c r="F4778">
        <v>0</v>
      </c>
      <c r="G4778">
        <v>0</v>
      </c>
      <c r="H4778">
        <v>526</v>
      </c>
      <c r="I4778" s="183" t="s">
        <v>1023</v>
      </c>
      <c r="J4778" s="183" t="s">
        <v>12085</v>
      </c>
      <c r="K4778">
        <v>0</v>
      </c>
      <c r="L4778">
        <v>526</v>
      </c>
    </row>
    <row r="4779" spans="1:12">
      <c r="A4779" s="183" t="s">
        <v>2982</v>
      </c>
      <c r="B4779" s="183" t="s">
        <v>2983</v>
      </c>
      <c r="C4779">
        <v>8800143693327</v>
      </c>
      <c r="D4779" s="501">
        <v>2967</v>
      </c>
      <c r="E4779">
        <v>0</v>
      </c>
      <c r="F4779">
        <v>0</v>
      </c>
      <c r="G4779">
        <v>0</v>
      </c>
      <c r="H4779" s="501">
        <v>2967</v>
      </c>
      <c r="I4779" s="183" t="s">
        <v>1023</v>
      </c>
      <c r="J4779" s="183" t="s">
        <v>12048</v>
      </c>
      <c r="K4779">
        <v>0</v>
      </c>
      <c r="L4779" s="501">
        <v>2967</v>
      </c>
    </row>
    <row r="4780" spans="1:12">
      <c r="A4780" s="183" t="s">
        <v>3480</v>
      </c>
      <c r="B4780" s="183" t="s">
        <v>3481</v>
      </c>
      <c r="C4780">
        <v>8809986728296</v>
      </c>
      <c r="D4780">
        <v>496</v>
      </c>
      <c r="E4780">
        <v>0</v>
      </c>
      <c r="F4780">
        <v>0</v>
      </c>
      <c r="G4780">
        <v>0</v>
      </c>
      <c r="H4780">
        <v>496</v>
      </c>
      <c r="I4780" s="183" t="s">
        <v>3443</v>
      </c>
      <c r="J4780" s="183" t="s">
        <v>12053</v>
      </c>
      <c r="K4780">
        <v>0</v>
      </c>
      <c r="L4780">
        <v>496</v>
      </c>
    </row>
    <row r="4781" spans="1:12">
      <c r="A4781" s="183" t="s">
        <v>3478</v>
      </c>
      <c r="B4781" s="183" t="s">
        <v>3449</v>
      </c>
      <c r="C4781">
        <v>8809986728449</v>
      </c>
      <c r="D4781">
        <v>338</v>
      </c>
      <c r="E4781">
        <v>0</v>
      </c>
      <c r="F4781">
        <v>0</v>
      </c>
      <c r="G4781">
        <v>0</v>
      </c>
      <c r="H4781">
        <v>338</v>
      </c>
      <c r="I4781" s="183" t="s">
        <v>3443</v>
      </c>
      <c r="J4781" s="183" t="s">
        <v>12091</v>
      </c>
      <c r="K4781">
        <v>0</v>
      </c>
      <c r="L4781">
        <v>338</v>
      </c>
    </row>
    <row r="4782" spans="1:12">
      <c r="A4782" s="183" t="s">
        <v>3477</v>
      </c>
      <c r="B4782" s="183" t="s">
        <v>3470</v>
      </c>
      <c r="C4782">
        <v>8809986728593</v>
      </c>
      <c r="D4782">
        <v>215</v>
      </c>
      <c r="E4782">
        <v>0</v>
      </c>
      <c r="F4782">
        <v>0</v>
      </c>
      <c r="G4782">
        <v>0</v>
      </c>
      <c r="H4782">
        <v>215</v>
      </c>
      <c r="I4782" s="183" t="s">
        <v>3443</v>
      </c>
      <c r="J4782" s="183" t="s">
        <v>12087</v>
      </c>
      <c r="K4782">
        <v>0</v>
      </c>
      <c r="L4782">
        <v>215</v>
      </c>
    </row>
    <row r="4783" spans="1:12">
      <c r="A4783" s="183" t="s">
        <v>6314</v>
      </c>
      <c r="B4783" s="183" t="s">
        <v>3891</v>
      </c>
      <c r="C4783">
        <v>8809986728692</v>
      </c>
      <c r="D4783">
        <v>306</v>
      </c>
      <c r="E4783">
        <v>0</v>
      </c>
      <c r="F4783">
        <v>0</v>
      </c>
      <c r="G4783">
        <v>0</v>
      </c>
      <c r="H4783">
        <v>306</v>
      </c>
      <c r="I4783" s="183" t="s">
        <v>3878</v>
      </c>
      <c r="J4783" s="183" t="s">
        <v>12081</v>
      </c>
      <c r="K4783">
        <v>0</v>
      </c>
      <c r="L4783">
        <v>306</v>
      </c>
    </row>
    <row r="4784" spans="1:12">
      <c r="A4784" s="183" t="s">
        <v>5159</v>
      </c>
      <c r="B4784" s="183" t="s">
        <v>3901</v>
      </c>
      <c r="C4784">
        <v>8809986728838</v>
      </c>
      <c r="D4784">
        <v>349</v>
      </c>
      <c r="E4784">
        <v>0</v>
      </c>
      <c r="F4784">
        <v>0</v>
      </c>
      <c r="G4784">
        <v>0</v>
      </c>
      <c r="H4784">
        <v>349</v>
      </c>
      <c r="I4784" s="183" t="s">
        <v>3878</v>
      </c>
      <c r="J4784" s="183" t="s">
        <v>12067</v>
      </c>
      <c r="K4784">
        <v>0</v>
      </c>
      <c r="L4784">
        <v>349</v>
      </c>
    </row>
    <row r="4785" spans="1:12">
      <c r="A4785" s="183" t="s">
        <v>3902</v>
      </c>
      <c r="B4785" s="183" t="s">
        <v>3894</v>
      </c>
      <c r="C4785">
        <v>8809986728869</v>
      </c>
      <c r="D4785">
        <v>161</v>
      </c>
      <c r="E4785">
        <v>0</v>
      </c>
      <c r="F4785">
        <v>0</v>
      </c>
      <c r="G4785">
        <v>0</v>
      </c>
      <c r="H4785">
        <v>161</v>
      </c>
      <c r="I4785" s="183" t="s">
        <v>3878</v>
      </c>
      <c r="J4785" s="183" t="s">
        <v>12093</v>
      </c>
      <c r="K4785">
        <v>0</v>
      </c>
      <c r="L4785">
        <v>161</v>
      </c>
    </row>
    <row r="4786" spans="1:12">
      <c r="A4786" s="183" t="s">
        <v>3893</v>
      </c>
      <c r="B4786" s="183" t="s">
        <v>3894</v>
      </c>
      <c r="C4786">
        <v>8809986728876</v>
      </c>
      <c r="D4786">
        <v>943</v>
      </c>
      <c r="E4786">
        <v>0</v>
      </c>
      <c r="F4786">
        <v>0</v>
      </c>
      <c r="G4786">
        <v>0</v>
      </c>
      <c r="H4786">
        <v>943</v>
      </c>
      <c r="I4786" s="183" t="s">
        <v>3878</v>
      </c>
      <c r="J4786" s="183" t="s">
        <v>12093</v>
      </c>
      <c r="K4786">
        <v>0</v>
      </c>
      <c r="L4786">
        <v>943</v>
      </c>
    </row>
    <row r="4787" spans="1:12">
      <c r="A4787" s="183" t="s">
        <v>3908</v>
      </c>
      <c r="B4787" s="183" t="s">
        <v>3909</v>
      </c>
      <c r="C4787">
        <v>8809986728944</v>
      </c>
      <c r="D4787">
        <v>91</v>
      </c>
      <c r="E4787">
        <v>0</v>
      </c>
      <c r="F4787">
        <v>0</v>
      </c>
      <c r="G4787">
        <v>0</v>
      </c>
      <c r="H4787">
        <v>91</v>
      </c>
      <c r="I4787" s="183" t="s">
        <v>3878</v>
      </c>
      <c r="J4787" s="183" t="s">
        <v>12091</v>
      </c>
      <c r="K4787">
        <v>0</v>
      </c>
      <c r="L4787">
        <v>91</v>
      </c>
    </row>
    <row r="4788" spans="1:12">
      <c r="A4788" s="183" t="s">
        <v>3682</v>
      </c>
      <c r="B4788" s="183" t="s">
        <v>3576</v>
      </c>
      <c r="C4788">
        <v>8800245474220</v>
      </c>
      <c r="D4788">
        <v>707</v>
      </c>
      <c r="E4788">
        <v>0</v>
      </c>
      <c r="F4788">
        <v>0</v>
      </c>
      <c r="G4788">
        <v>0</v>
      </c>
      <c r="H4788">
        <v>707</v>
      </c>
      <c r="I4788" s="183" t="s">
        <v>3577</v>
      </c>
      <c r="J4788" s="183" t="s">
        <v>12094</v>
      </c>
      <c r="K4788">
        <v>0</v>
      </c>
      <c r="L4788">
        <v>707</v>
      </c>
    </row>
    <row r="4789" spans="1:12">
      <c r="A4789" s="183" t="s">
        <v>3798</v>
      </c>
      <c r="B4789" s="183" t="s">
        <v>3576</v>
      </c>
      <c r="C4789">
        <v>8800245474244</v>
      </c>
      <c r="D4789" s="501">
        <v>1269</v>
      </c>
      <c r="E4789">
        <v>0</v>
      </c>
      <c r="F4789">
        <v>0</v>
      </c>
      <c r="G4789">
        <v>0</v>
      </c>
      <c r="H4789" s="501">
        <v>1269</v>
      </c>
      <c r="I4789" s="183" t="s">
        <v>3577</v>
      </c>
      <c r="J4789" s="183" t="s">
        <v>12059</v>
      </c>
      <c r="K4789">
        <v>0</v>
      </c>
      <c r="L4789" s="501">
        <v>1269</v>
      </c>
    </row>
    <row r="4790" spans="1:12">
      <c r="A4790" s="183" t="s">
        <v>3801</v>
      </c>
      <c r="B4790" s="183" t="s">
        <v>3576</v>
      </c>
      <c r="C4790">
        <v>8800245474268</v>
      </c>
      <c r="D4790">
        <v>589</v>
      </c>
      <c r="E4790">
        <v>0</v>
      </c>
      <c r="F4790">
        <v>0</v>
      </c>
      <c r="G4790">
        <v>0</v>
      </c>
      <c r="H4790">
        <v>589</v>
      </c>
      <c r="I4790" s="183" t="s">
        <v>3577</v>
      </c>
      <c r="J4790" s="183" t="s">
        <v>12093</v>
      </c>
      <c r="K4790">
        <v>0</v>
      </c>
      <c r="L4790">
        <v>589</v>
      </c>
    </row>
    <row r="4791" spans="1:12">
      <c r="A4791" s="183" t="s">
        <v>3809</v>
      </c>
      <c r="B4791" s="183" t="s">
        <v>3576</v>
      </c>
      <c r="C4791">
        <v>8800245474275</v>
      </c>
      <c r="D4791">
        <v>141</v>
      </c>
      <c r="E4791">
        <v>0</v>
      </c>
      <c r="F4791">
        <v>0</v>
      </c>
      <c r="G4791">
        <v>0</v>
      </c>
      <c r="H4791">
        <v>141</v>
      </c>
      <c r="I4791" s="183" t="s">
        <v>3577</v>
      </c>
      <c r="J4791" s="183" t="s">
        <v>12067</v>
      </c>
      <c r="K4791">
        <v>0</v>
      </c>
      <c r="L4791">
        <v>141</v>
      </c>
    </row>
    <row r="4792" spans="1:12">
      <c r="A4792" s="183" t="s">
        <v>3643</v>
      </c>
      <c r="B4792" s="183" t="s">
        <v>3576</v>
      </c>
      <c r="C4792">
        <v>8800245474473</v>
      </c>
      <c r="D4792" s="501">
        <v>1719</v>
      </c>
      <c r="E4792">
        <v>0</v>
      </c>
      <c r="F4792">
        <v>0</v>
      </c>
      <c r="G4792">
        <v>0</v>
      </c>
      <c r="H4792" s="501">
        <v>1719</v>
      </c>
      <c r="I4792" s="183" t="s">
        <v>3577</v>
      </c>
      <c r="J4792" s="183" t="s">
        <v>12094</v>
      </c>
      <c r="K4792">
        <v>0</v>
      </c>
      <c r="L4792" s="501">
        <v>1719</v>
      </c>
    </row>
    <row r="4793" spans="1:12">
      <c r="A4793" s="183" t="s">
        <v>3645</v>
      </c>
      <c r="B4793" s="183" t="s">
        <v>3576</v>
      </c>
      <c r="C4793">
        <v>8800245474602</v>
      </c>
      <c r="D4793">
        <v>211</v>
      </c>
      <c r="E4793">
        <v>0</v>
      </c>
      <c r="F4793">
        <v>0</v>
      </c>
      <c r="G4793">
        <v>0</v>
      </c>
      <c r="H4793">
        <v>211</v>
      </c>
      <c r="I4793" s="183" t="s">
        <v>3577</v>
      </c>
      <c r="J4793" s="183" t="s">
        <v>12081</v>
      </c>
      <c r="K4793">
        <v>0</v>
      </c>
      <c r="L4793">
        <v>211</v>
      </c>
    </row>
    <row r="4794" spans="1:12">
      <c r="A4794" s="183" t="s">
        <v>3816</v>
      </c>
      <c r="B4794" s="183" t="s">
        <v>3576</v>
      </c>
      <c r="C4794">
        <v>8800245474701</v>
      </c>
      <c r="D4794">
        <v>389</v>
      </c>
      <c r="E4794">
        <v>0</v>
      </c>
      <c r="F4794">
        <v>0</v>
      </c>
      <c r="G4794">
        <v>0</v>
      </c>
      <c r="H4794">
        <v>389</v>
      </c>
      <c r="I4794" s="183" t="s">
        <v>3577</v>
      </c>
      <c r="J4794" s="183" t="s">
        <v>12067</v>
      </c>
      <c r="K4794">
        <v>0</v>
      </c>
      <c r="L4794">
        <v>389</v>
      </c>
    </row>
    <row r="4795" spans="1:12">
      <c r="A4795" s="183" t="s">
        <v>3818</v>
      </c>
      <c r="B4795" s="183" t="s">
        <v>3576</v>
      </c>
      <c r="C4795">
        <v>8800245474725</v>
      </c>
      <c r="D4795">
        <v>125</v>
      </c>
      <c r="E4795">
        <v>0</v>
      </c>
      <c r="F4795">
        <v>0</v>
      </c>
      <c r="G4795">
        <v>0</v>
      </c>
      <c r="H4795">
        <v>125</v>
      </c>
      <c r="I4795" s="183" t="s">
        <v>3577</v>
      </c>
      <c r="J4795" s="183" t="s">
        <v>12053</v>
      </c>
      <c r="K4795">
        <v>0</v>
      </c>
      <c r="L4795">
        <v>125</v>
      </c>
    </row>
    <row r="4796" spans="1:12">
      <c r="A4796" s="183" t="s">
        <v>3594</v>
      </c>
      <c r="B4796" s="183" t="s">
        <v>3574</v>
      </c>
      <c r="C4796">
        <v>8800245474930</v>
      </c>
      <c r="D4796">
        <v>594</v>
      </c>
      <c r="E4796">
        <v>0</v>
      </c>
      <c r="F4796">
        <v>0</v>
      </c>
      <c r="G4796">
        <v>0</v>
      </c>
      <c r="H4796">
        <v>594</v>
      </c>
      <c r="I4796" s="183" t="s">
        <v>3575</v>
      </c>
      <c r="J4796" s="183" t="s">
        <v>12087</v>
      </c>
      <c r="K4796">
        <v>0</v>
      </c>
      <c r="L4796">
        <v>594</v>
      </c>
    </row>
    <row r="4797" spans="1:12">
      <c r="A4797" s="183" t="s">
        <v>3582</v>
      </c>
      <c r="B4797" s="183" t="s">
        <v>3574</v>
      </c>
      <c r="C4797">
        <v>8800245474947</v>
      </c>
      <c r="D4797">
        <v>731</v>
      </c>
      <c r="E4797">
        <v>0</v>
      </c>
      <c r="F4797">
        <v>0</v>
      </c>
      <c r="G4797">
        <v>0</v>
      </c>
      <c r="H4797">
        <v>731</v>
      </c>
      <c r="I4797" s="183" t="s">
        <v>3575</v>
      </c>
      <c r="J4797" s="183" t="s">
        <v>12091</v>
      </c>
      <c r="K4797">
        <v>0</v>
      </c>
      <c r="L4797">
        <v>731</v>
      </c>
    </row>
    <row r="4798" spans="1:12">
      <c r="A4798" s="183" t="s">
        <v>3644</v>
      </c>
      <c r="B4798" s="183" t="s">
        <v>3574</v>
      </c>
      <c r="C4798">
        <v>8800245474992</v>
      </c>
      <c r="D4798">
        <v>302</v>
      </c>
      <c r="E4798">
        <v>0</v>
      </c>
      <c r="F4798">
        <v>0</v>
      </c>
      <c r="G4798">
        <v>0</v>
      </c>
      <c r="H4798">
        <v>302</v>
      </c>
      <c r="I4798" s="183" t="s">
        <v>3575</v>
      </c>
      <c r="J4798" s="183" t="s">
        <v>12093</v>
      </c>
      <c r="K4798">
        <v>0</v>
      </c>
      <c r="L4798">
        <v>302</v>
      </c>
    </row>
    <row r="4799" spans="1:12">
      <c r="A4799" s="183" t="s">
        <v>3629</v>
      </c>
      <c r="B4799" s="183" t="s">
        <v>3574</v>
      </c>
      <c r="C4799">
        <v>8800245475166</v>
      </c>
      <c r="D4799" s="501">
        <v>1059</v>
      </c>
      <c r="E4799">
        <v>0</v>
      </c>
      <c r="F4799">
        <v>0</v>
      </c>
      <c r="G4799">
        <v>0</v>
      </c>
      <c r="H4799" s="501">
        <v>1059</v>
      </c>
      <c r="I4799" s="183" t="s">
        <v>3575</v>
      </c>
      <c r="J4799" s="183" t="s">
        <v>12095</v>
      </c>
      <c r="K4799">
        <v>0</v>
      </c>
      <c r="L4799" s="501">
        <v>1059</v>
      </c>
    </row>
    <row r="4800" spans="1:12">
      <c r="A4800" s="183" t="s">
        <v>3593</v>
      </c>
      <c r="B4800" s="183" t="s">
        <v>3574</v>
      </c>
      <c r="C4800">
        <v>8800245475210</v>
      </c>
      <c r="D4800">
        <v>940</v>
      </c>
      <c r="E4800">
        <v>0</v>
      </c>
      <c r="F4800">
        <v>0</v>
      </c>
      <c r="G4800">
        <v>0</v>
      </c>
      <c r="H4800">
        <v>940</v>
      </c>
      <c r="I4800" s="183" t="s">
        <v>3575</v>
      </c>
      <c r="J4800" s="183" t="s">
        <v>12050</v>
      </c>
      <c r="K4800">
        <v>0</v>
      </c>
      <c r="L4800">
        <v>940</v>
      </c>
    </row>
    <row r="4801" spans="1:12">
      <c r="A4801" s="183" t="s">
        <v>3635</v>
      </c>
      <c r="B4801" s="183" t="s">
        <v>3574</v>
      </c>
      <c r="C4801">
        <v>8800245475265</v>
      </c>
      <c r="D4801">
        <v>379</v>
      </c>
      <c r="E4801">
        <v>0</v>
      </c>
      <c r="F4801">
        <v>0</v>
      </c>
      <c r="G4801">
        <v>0</v>
      </c>
      <c r="H4801">
        <v>379</v>
      </c>
      <c r="I4801" s="183" t="s">
        <v>3575</v>
      </c>
      <c r="J4801" s="183" t="s">
        <v>12066</v>
      </c>
      <c r="K4801">
        <v>0</v>
      </c>
      <c r="L4801">
        <v>379</v>
      </c>
    </row>
    <row r="4802" spans="1:12">
      <c r="A4802" s="183" t="s">
        <v>3605</v>
      </c>
      <c r="B4802" s="183" t="s">
        <v>3574</v>
      </c>
      <c r="C4802">
        <v>8800245475371</v>
      </c>
      <c r="D4802" s="501">
        <v>1207</v>
      </c>
      <c r="E4802">
        <v>0</v>
      </c>
      <c r="F4802">
        <v>0</v>
      </c>
      <c r="G4802">
        <v>0</v>
      </c>
      <c r="H4802" s="501">
        <v>1207</v>
      </c>
      <c r="I4802" s="183" t="s">
        <v>3575</v>
      </c>
      <c r="J4802" s="183" t="s">
        <v>12091</v>
      </c>
      <c r="K4802">
        <v>0</v>
      </c>
      <c r="L4802" s="501">
        <v>1207</v>
      </c>
    </row>
    <row r="4803" spans="1:12">
      <c r="A4803" s="183" t="s">
        <v>3634</v>
      </c>
      <c r="B4803" s="183" t="s">
        <v>3574</v>
      </c>
      <c r="C4803">
        <v>8800245475500</v>
      </c>
      <c r="D4803">
        <v>383</v>
      </c>
      <c r="E4803">
        <v>0</v>
      </c>
      <c r="F4803">
        <v>0</v>
      </c>
      <c r="G4803">
        <v>0</v>
      </c>
      <c r="H4803">
        <v>383</v>
      </c>
      <c r="I4803" s="183" t="s">
        <v>3575</v>
      </c>
      <c r="J4803" s="183" t="s">
        <v>12081</v>
      </c>
      <c r="K4803">
        <v>0</v>
      </c>
      <c r="L4803">
        <v>383</v>
      </c>
    </row>
    <row r="4804" spans="1:12">
      <c r="A4804" s="183" t="s">
        <v>569</v>
      </c>
      <c r="B4804" s="183" t="s">
        <v>1003</v>
      </c>
      <c r="C4804">
        <v>33040230</v>
      </c>
      <c r="D4804">
        <v>35</v>
      </c>
      <c r="E4804">
        <v>0</v>
      </c>
      <c r="F4804">
        <v>0</v>
      </c>
      <c r="G4804">
        <v>0</v>
      </c>
      <c r="H4804">
        <v>35</v>
      </c>
      <c r="I4804" s="183" t="s">
        <v>1004</v>
      </c>
      <c r="J4804" s="183" t="s">
        <v>12093</v>
      </c>
      <c r="K4804">
        <v>0</v>
      </c>
      <c r="L4804">
        <v>35</v>
      </c>
    </row>
    <row r="4805" spans="1:12">
      <c r="A4805" s="183" t="s">
        <v>4400</v>
      </c>
      <c r="B4805" s="183" t="s">
        <v>4401</v>
      </c>
      <c r="C4805">
        <v>8800269006230</v>
      </c>
      <c r="D4805">
        <v>191</v>
      </c>
      <c r="E4805">
        <v>0</v>
      </c>
      <c r="F4805">
        <v>0</v>
      </c>
      <c r="G4805">
        <v>0</v>
      </c>
      <c r="H4805">
        <v>191</v>
      </c>
      <c r="I4805" s="183" t="s">
        <v>4355</v>
      </c>
      <c r="J4805" s="183" t="s">
        <v>12055</v>
      </c>
      <c r="K4805">
        <v>0</v>
      </c>
      <c r="L4805">
        <v>191</v>
      </c>
    </row>
    <row r="4806" spans="1:12">
      <c r="A4806" s="183" t="s">
        <v>4402</v>
      </c>
      <c r="B4806" s="183" t="s">
        <v>4403</v>
      </c>
      <c r="C4806">
        <v>8800269006278</v>
      </c>
      <c r="D4806">
        <v>172</v>
      </c>
      <c r="E4806">
        <v>0</v>
      </c>
      <c r="F4806">
        <v>0</v>
      </c>
      <c r="G4806">
        <v>0</v>
      </c>
      <c r="H4806">
        <v>172</v>
      </c>
      <c r="I4806" s="183" t="s">
        <v>4355</v>
      </c>
      <c r="J4806" s="183" t="s">
        <v>12055</v>
      </c>
      <c r="K4806">
        <v>0</v>
      </c>
      <c r="L4806">
        <v>172</v>
      </c>
    </row>
    <row r="4807" spans="1:12">
      <c r="A4807" s="183" t="s">
        <v>4404</v>
      </c>
      <c r="B4807" s="183" t="s">
        <v>4405</v>
      </c>
      <c r="C4807">
        <v>8800269006414</v>
      </c>
      <c r="D4807">
        <v>170</v>
      </c>
      <c r="E4807">
        <v>0</v>
      </c>
      <c r="F4807">
        <v>0</v>
      </c>
      <c r="G4807">
        <v>0</v>
      </c>
      <c r="H4807">
        <v>170</v>
      </c>
      <c r="I4807" s="183" t="s">
        <v>4355</v>
      </c>
      <c r="J4807" s="183" t="s">
        <v>12087</v>
      </c>
      <c r="K4807">
        <v>0</v>
      </c>
      <c r="L4807">
        <v>170</v>
      </c>
    </row>
    <row r="4808" spans="1:12">
      <c r="A4808" s="183" t="s">
        <v>4406</v>
      </c>
      <c r="B4808" s="183" t="s">
        <v>4370</v>
      </c>
      <c r="C4808">
        <v>8800269006490</v>
      </c>
      <c r="D4808">
        <v>200</v>
      </c>
      <c r="E4808">
        <v>0</v>
      </c>
      <c r="F4808">
        <v>0</v>
      </c>
      <c r="G4808">
        <v>0</v>
      </c>
      <c r="H4808">
        <v>200</v>
      </c>
      <c r="I4808" s="183" t="s">
        <v>4360</v>
      </c>
      <c r="J4808" s="183" t="s">
        <v>12055</v>
      </c>
      <c r="K4808">
        <v>0</v>
      </c>
      <c r="L4808">
        <v>200</v>
      </c>
    </row>
    <row r="4809" spans="1:12">
      <c r="A4809" s="183" t="s">
        <v>4407</v>
      </c>
      <c r="B4809" s="183" t="s">
        <v>4396</v>
      </c>
      <c r="C4809">
        <v>8800269006575</v>
      </c>
      <c r="D4809">
        <v>143</v>
      </c>
      <c r="E4809">
        <v>0</v>
      </c>
      <c r="F4809">
        <v>0</v>
      </c>
      <c r="G4809">
        <v>0</v>
      </c>
      <c r="H4809">
        <v>143</v>
      </c>
      <c r="I4809" s="183" t="s">
        <v>4360</v>
      </c>
      <c r="J4809" s="183" t="s">
        <v>12087</v>
      </c>
      <c r="K4809">
        <v>0</v>
      </c>
      <c r="L4809">
        <v>143</v>
      </c>
    </row>
    <row r="4810" spans="1:12">
      <c r="A4810" s="183" t="s">
        <v>4408</v>
      </c>
      <c r="B4810" s="183" t="s">
        <v>4362</v>
      </c>
      <c r="C4810">
        <v>8800269006643</v>
      </c>
      <c r="D4810">
        <v>159</v>
      </c>
      <c r="E4810">
        <v>0</v>
      </c>
      <c r="F4810">
        <v>0</v>
      </c>
      <c r="G4810">
        <v>0</v>
      </c>
      <c r="H4810">
        <v>159</v>
      </c>
      <c r="I4810" s="183" t="s">
        <v>4360</v>
      </c>
      <c r="J4810" s="183" t="s">
        <v>12087</v>
      </c>
      <c r="K4810">
        <v>0</v>
      </c>
      <c r="L4810">
        <v>159</v>
      </c>
    </row>
    <row r="4811" spans="1:12">
      <c r="A4811" s="183" t="s">
        <v>4452</v>
      </c>
      <c r="B4811" s="183" t="s">
        <v>4443</v>
      </c>
      <c r="C4811">
        <v>8800269006735</v>
      </c>
      <c r="D4811">
        <v>228</v>
      </c>
      <c r="E4811">
        <v>0</v>
      </c>
      <c r="F4811">
        <v>0</v>
      </c>
      <c r="G4811">
        <v>0</v>
      </c>
      <c r="H4811">
        <v>228</v>
      </c>
      <c r="I4811" s="183" t="s">
        <v>4360</v>
      </c>
      <c r="J4811" s="183" t="s">
        <v>12055</v>
      </c>
      <c r="K4811">
        <v>0</v>
      </c>
      <c r="L4811">
        <v>228</v>
      </c>
    </row>
    <row r="4812" spans="1:12">
      <c r="A4812" s="183" t="s">
        <v>4442</v>
      </c>
      <c r="B4812" s="183" t="s">
        <v>4443</v>
      </c>
      <c r="C4812">
        <v>8800269006742</v>
      </c>
      <c r="D4812">
        <v>122</v>
      </c>
      <c r="E4812">
        <v>0</v>
      </c>
      <c r="F4812">
        <v>0</v>
      </c>
      <c r="G4812">
        <v>0</v>
      </c>
      <c r="H4812">
        <v>122</v>
      </c>
      <c r="I4812" s="183" t="s">
        <v>4360</v>
      </c>
      <c r="J4812" s="183" t="s">
        <v>12050</v>
      </c>
      <c r="K4812">
        <v>0</v>
      </c>
      <c r="L4812">
        <v>122</v>
      </c>
    </row>
    <row r="4813" spans="1:12">
      <c r="A4813" s="183" t="s">
        <v>4579</v>
      </c>
      <c r="B4813" s="183" t="s">
        <v>4580</v>
      </c>
      <c r="C4813">
        <v>8800269028034</v>
      </c>
      <c r="D4813">
        <v>469</v>
      </c>
      <c r="E4813">
        <v>0</v>
      </c>
      <c r="F4813">
        <v>0</v>
      </c>
      <c r="G4813">
        <v>0</v>
      </c>
      <c r="H4813">
        <v>469</v>
      </c>
      <c r="I4813" s="183" t="s">
        <v>4499</v>
      </c>
      <c r="J4813" s="183" t="s">
        <v>12093</v>
      </c>
      <c r="K4813">
        <v>0</v>
      </c>
      <c r="L4813">
        <v>469</v>
      </c>
    </row>
    <row r="4814" spans="1:12">
      <c r="A4814" s="183" t="s">
        <v>4581</v>
      </c>
      <c r="B4814" s="183" t="s">
        <v>4582</v>
      </c>
      <c r="C4814">
        <v>8800269028102</v>
      </c>
      <c r="D4814">
        <v>451</v>
      </c>
      <c r="E4814">
        <v>0</v>
      </c>
      <c r="F4814">
        <v>0</v>
      </c>
      <c r="G4814">
        <v>0</v>
      </c>
      <c r="H4814">
        <v>451</v>
      </c>
      <c r="I4814" s="183" t="s">
        <v>4499</v>
      </c>
      <c r="J4814" s="183" t="s">
        <v>12053</v>
      </c>
      <c r="K4814">
        <v>0</v>
      </c>
      <c r="L4814">
        <v>451</v>
      </c>
    </row>
    <row r="4815" spans="1:12">
      <c r="A4815" s="183" t="s">
        <v>4583</v>
      </c>
      <c r="B4815" s="183" t="s">
        <v>4584</v>
      </c>
      <c r="C4815">
        <v>8800269028270</v>
      </c>
      <c r="D4815">
        <v>296</v>
      </c>
      <c r="E4815">
        <v>0</v>
      </c>
      <c r="F4815">
        <v>0</v>
      </c>
      <c r="G4815">
        <v>0</v>
      </c>
      <c r="H4815">
        <v>296</v>
      </c>
      <c r="I4815" s="183" t="s">
        <v>4499</v>
      </c>
      <c r="J4815" s="183" t="s">
        <v>12050</v>
      </c>
      <c r="K4815">
        <v>0</v>
      </c>
      <c r="L4815">
        <v>296</v>
      </c>
    </row>
    <row r="4816" spans="1:12">
      <c r="A4816" s="183" t="s">
        <v>4585</v>
      </c>
      <c r="B4816" s="183" t="s">
        <v>4562</v>
      </c>
      <c r="C4816">
        <v>8800269028362</v>
      </c>
      <c r="D4816">
        <v>428</v>
      </c>
      <c r="E4816">
        <v>0</v>
      </c>
      <c r="F4816">
        <v>0</v>
      </c>
      <c r="G4816">
        <v>0</v>
      </c>
      <c r="H4816">
        <v>428</v>
      </c>
      <c r="I4816" s="183" t="s">
        <v>4510</v>
      </c>
      <c r="J4816" s="183" t="s">
        <v>12085</v>
      </c>
      <c r="K4816">
        <v>0</v>
      </c>
      <c r="L4816">
        <v>428</v>
      </c>
    </row>
    <row r="4817" spans="1:12">
      <c r="A4817" s="183" t="s">
        <v>4586</v>
      </c>
      <c r="B4817" s="183" t="s">
        <v>4562</v>
      </c>
      <c r="C4817">
        <v>8800269028379</v>
      </c>
      <c r="D4817">
        <v>413</v>
      </c>
      <c r="E4817">
        <v>0</v>
      </c>
      <c r="F4817">
        <v>0</v>
      </c>
      <c r="G4817">
        <v>0</v>
      </c>
      <c r="H4817">
        <v>413</v>
      </c>
      <c r="I4817" s="183" t="s">
        <v>4510</v>
      </c>
      <c r="J4817" s="183" t="s">
        <v>12048</v>
      </c>
      <c r="K4817">
        <v>0</v>
      </c>
      <c r="L4817">
        <v>413</v>
      </c>
    </row>
    <row r="4818" spans="1:12">
      <c r="A4818" s="183" t="s">
        <v>4587</v>
      </c>
      <c r="B4818" s="183" t="s">
        <v>4512</v>
      </c>
      <c r="C4818">
        <v>8800269028447</v>
      </c>
      <c r="D4818">
        <v>411</v>
      </c>
      <c r="E4818">
        <v>0</v>
      </c>
      <c r="F4818">
        <v>0</v>
      </c>
      <c r="G4818">
        <v>0</v>
      </c>
      <c r="H4818">
        <v>411</v>
      </c>
      <c r="I4818" s="183" t="s">
        <v>4510</v>
      </c>
      <c r="J4818" s="183" t="s">
        <v>12093</v>
      </c>
      <c r="K4818">
        <v>0</v>
      </c>
      <c r="L4818">
        <v>411</v>
      </c>
    </row>
    <row r="4819" spans="1:12">
      <c r="A4819" s="183" t="s">
        <v>4588</v>
      </c>
      <c r="B4819" s="183" t="s">
        <v>4522</v>
      </c>
      <c r="C4819">
        <v>8800269028492</v>
      </c>
      <c r="D4819">
        <v>444</v>
      </c>
      <c r="E4819">
        <v>0</v>
      </c>
      <c r="F4819">
        <v>0</v>
      </c>
      <c r="G4819">
        <v>0</v>
      </c>
      <c r="H4819">
        <v>444</v>
      </c>
      <c r="I4819" s="183" t="s">
        <v>4510</v>
      </c>
      <c r="J4819" s="183" t="s">
        <v>12093</v>
      </c>
      <c r="K4819">
        <v>0</v>
      </c>
      <c r="L4819">
        <v>444</v>
      </c>
    </row>
    <row r="4820" spans="1:12">
      <c r="A4820" s="183" t="s">
        <v>4589</v>
      </c>
      <c r="B4820" s="183" t="s">
        <v>4540</v>
      </c>
      <c r="C4820">
        <v>8800269028515</v>
      </c>
      <c r="D4820">
        <v>455</v>
      </c>
      <c r="E4820">
        <v>0</v>
      </c>
      <c r="F4820">
        <v>0</v>
      </c>
      <c r="G4820">
        <v>0</v>
      </c>
      <c r="H4820">
        <v>455</v>
      </c>
      <c r="I4820" s="183" t="s">
        <v>4510</v>
      </c>
      <c r="J4820" s="183" t="s">
        <v>12059</v>
      </c>
      <c r="K4820">
        <v>0</v>
      </c>
      <c r="L4820">
        <v>455</v>
      </c>
    </row>
    <row r="4821" spans="1:12">
      <c r="A4821" s="183" t="s">
        <v>4590</v>
      </c>
      <c r="B4821" s="183" t="s">
        <v>4524</v>
      </c>
      <c r="C4821">
        <v>8800269028553</v>
      </c>
      <c r="D4821">
        <v>294</v>
      </c>
      <c r="E4821">
        <v>0</v>
      </c>
      <c r="F4821">
        <v>0</v>
      </c>
      <c r="G4821">
        <v>0</v>
      </c>
      <c r="H4821">
        <v>294</v>
      </c>
      <c r="I4821" s="183" t="s">
        <v>4510</v>
      </c>
      <c r="J4821" s="183" t="s">
        <v>12094</v>
      </c>
      <c r="K4821">
        <v>0</v>
      </c>
      <c r="L4821">
        <v>294</v>
      </c>
    </row>
    <row r="4822" spans="1:12">
      <c r="A4822" s="183" t="s">
        <v>4591</v>
      </c>
      <c r="B4822" s="183" t="s">
        <v>4568</v>
      </c>
      <c r="C4822">
        <v>8800269028560</v>
      </c>
      <c r="D4822">
        <v>290</v>
      </c>
      <c r="E4822">
        <v>0</v>
      </c>
      <c r="F4822">
        <v>0</v>
      </c>
      <c r="G4822">
        <v>0</v>
      </c>
      <c r="H4822">
        <v>290</v>
      </c>
      <c r="I4822" s="183" t="s">
        <v>4510</v>
      </c>
      <c r="J4822" s="183" t="s">
        <v>12081</v>
      </c>
      <c r="K4822">
        <v>0</v>
      </c>
      <c r="L4822">
        <v>290</v>
      </c>
    </row>
    <row r="4823" spans="1:12">
      <c r="A4823" s="183" t="s">
        <v>5943</v>
      </c>
      <c r="B4823" s="183" t="s">
        <v>5893</v>
      </c>
      <c r="C4823">
        <v>8800322956717</v>
      </c>
      <c r="D4823">
        <v>85</v>
      </c>
      <c r="E4823">
        <v>0</v>
      </c>
      <c r="F4823">
        <v>0</v>
      </c>
      <c r="G4823">
        <v>0</v>
      </c>
      <c r="H4823">
        <v>85</v>
      </c>
      <c r="I4823" s="183" t="s">
        <v>5896</v>
      </c>
      <c r="J4823" s="183" t="s">
        <v>12050</v>
      </c>
      <c r="K4823">
        <v>0</v>
      </c>
      <c r="L4823">
        <v>85</v>
      </c>
    </row>
    <row r="4824" spans="1:12">
      <c r="A4824" s="183" t="s">
        <v>5944</v>
      </c>
      <c r="B4824" s="183" t="s">
        <v>5894</v>
      </c>
      <c r="C4824">
        <v>8800322956939</v>
      </c>
      <c r="D4824">
        <v>165</v>
      </c>
      <c r="E4824">
        <v>0</v>
      </c>
      <c r="F4824">
        <v>0</v>
      </c>
      <c r="G4824">
        <v>0</v>
      </c>
      <c r="H4824">
        <v>165</v>
      </c>
      <c r="I4824" s="183" t="s">
        <v>5899</v>
      </c>
      <c r="J4824" s="183" t="s">
        <v>12095</v>
      </c>
      <c r="K4824">
        <v>0</v>
      </c>
      <c r="L4824">
        <v>165</v>
      </c>
    </row>
    <row r="4825" spans="1:12">
      <c r="A4825" s="183" t="s">
        <v>5952</v>
      </c>
      <c r="B4825" s="183" t="s">
        <v>5894</v>
      </c>
      <c r="C4825">
        <v>8800322957028</v>
      </c>
      <c r="D4825">
        <v>117</v>
      </c>
      <c r="E4825">
        <v>0</v>
      </c>
      <c r="F4825">
        <v>0</v>
      </c>
      <c r="G4825">
        <v>0</v>
      </c>
      <c r="H4825">
        <v>117</v>
      </c>
      <c r="I4825" s="183" t="s">
        <v>5899</v>
      </c>
      <c r="J4825" s="183" t="s">
        <v>12050</v>
      </c>
      <c r="K4825">
        <v>0</v>
      </c>
      <c r="L4825">
        <v>117</v>
      </c>
    </row>
    <row r="4826" spans="1:12">
      <c r="A4826" s="183" t="s">
        <v>6006</v>
      </c>
      <c r="B4826" s="183" t="s">
        <v>5984</v>
      </c>
      <c r="C4826">
        <v>8800322957097</v>
      </c>
      <c r="D4826">
        <v>144</v>
      </c>
      <c r="E4826">
        <v>0</v>
      </c>
      <c r="F4826">
        <v>0</v>
      </c>
      <c r="G4826">
        <v>0</v>
      </c>
      <c r="H4826">
        <v>144</v>
      </c>
      <c r="I4826" s="183" t="s">
        <v>5985</v>
      </c>
      <c r="J4826" s="183" t="s">
        <v>12061</v>
      </c>
      <c r="K4826">
        <v>0</v>
      </c>
      <c r="L4826">
        <v>144</v>
      </c>
    </row>
    <row r="4827" spans="1:12">
      <c r="A4827" s="183" t="s">
        <v>6007</v>
      </c>
      <c r="B4827" s="183" t="s">
        <v>5984</v>
      </c>
      <c r="C4827">
        <v>8800322957103</v>
      </c>
      <c r="D4827">
        <v>152</v>
      </c>
      <c r="E4827">
        <v>0</v>
      </c>
      <c r="F4827">
        <v>0</v>
      </c>
      <c r="G4827">
        <v>0</v>
      </c>
      <c r="H4827">
        <v>152</v>
      </c>
      <c r="I4827" s="183" t="s">
        <v>5985</v>
      </c>
      <c r="J4827" s="183" t="s">
        <v>12063</v>
      </c>
      <c r="K4827">
        <v>0</v>
      </c>
      <c r="L4827">
        <v>152</v>
      </c>
    </row>
    <row r="4828" spans="1:12">
      <c r="A4828" s="183" t="s">
        <v>6008</v>
      </c>
      <c r="B4828" s="183" t="s">
        <v>5984</v>
      </c>
      <c r="C4828">
        <v>8800322957158</v>
      </c>
      <c r="D4828">
        <v>151</v>
      </c>
      <c r="E4828">
        <v>0</v>
      </c>
      <c r="F4828">
        <v>0</v>
      </c>
      <c r="G4828">
        <v>0</v>
      </c>
      <c r="H4828">
        <v>151</v>
      </c>
      <c r="I4828" s="183" t="s">
        <v>5985</v>
      </c>
      <c r="J4828" s="183" t="s">
        <v>12063</v>
      </c>
      <c r="K4828">
        <v>0</v>
      </c>
      <c r="L4828">
        <v>151</v>
      </c>
    </row>
    <row r="4829" spans="1:12">
      <c r="A4829" s="183" t="s">
        <v>6009</v>
      </c>
      <c r="B4829" s="183" t="s">
        <v>5984</v>
      </c>
      <c r="C4829">
        <v>8800322957202</v>
      </c>
      <c r="D4829">
        <v>204</v>
      </c>
      <c r="E4829">
        <v>0</v>
      </c>
      <c r="F4829">
        <v>0</v>
      </c>
      <c r="G4829">
        <v>0</v>
      </c>
      <c r="H4829">
        <v>204</v>
      </c>
      <c r="I4829" s="183" t="s">
        <v>5985</v>
      </c>
      <c r="J4829" s="183" t="s">
        <v>12061</v>
      </c>
      <c r="K4829">
        <v>0</v>
      </c>
      <c r="L4829">
        <v>204</v>
      </c>
    </row>
    <row r="4830" spans="1:12">
      <c r="A4830" s="183" t="s">
        <v>5945</v>
      </c>
      <c r="B4830" s="183" t="s">
        <v>5914</v>
      </c>
      <c r="C4830">
        <v>8800322957301</v>
      </c>
      <c r="D4830">
        <v>121</v>
      </c>
      <c r="E4830">
        <v>0</v>
      </c>
      <c r="F4830">
        <v>0</v>
      </c>
      <c r="G4830">
        <v>0</v>
      </c>
      <c r="H4830">
        <v>121</v>
      </c>
      <c r="I4830" s="183" t="s">
        <v>5915</v>
      </c>
      <c r="J4830" s="183" t="s">
        <v>12050</v>
      </c>
      <c r="K4830">
        <v>0</v>
      </c>
      <c r="L4830">
        <v>121</v>
      </c>
    </row>
    <row r="4831" spans="1:12">
      <c r="A4831" s="183" t="s">
        <v>5946</v>
      </c>
      <c r="B4831" s="183" t="s">
        <v>5914</v>
      </c>
      <c r="C4831">
        <v>8800322957387</v>
      </c>
      <c r="D4831">
        <v>160</v>
      </c>
      <c r="E4831">
        <v>0</v>
      </c>
      <c r="F4831">
        <v>0</v>
      </c>
      <c r="G4831">
        <v>0</v>
      </c>
      <c r="H4831">
        <v>160</v>
      </c>
      <c r="I4831" s="183" t="s">
        <v>5915</v>
      </c>
      <c r="J4831" s="183" t="s">
        <v>12063</v>
      </c>
      <c r="K4831">
        <v>0</v>
      </c>
      <c r="L4831">
        <v>160</v>
      </c>
    </row>
    <row r="4832" spans="1:12">
      <c r="A4832" s="183" t="s">
        <v>5979</v>
      </c>
      <c r="B4832" s="183" t="s">
        <v>5914</v>
      </c>
      <c r="C4832">
        <v>8800322957455</v>
      </c>
      <c r="D4832">
        <v>112</v>
      </c>
      <c r="E4832">
        <v>0</v>
      </c>
      <c r="F4832">
        <v>0</v>
      </c>
      <c r="G4832">
        <v>0</v>
      </c>
      <c r="H4832">
        <v>112</v>
      </c>
      <c r="I4832" s="183" t="s">
        <v>5915</v>
      </c>
      <c r="J4832" s="183" t="s">
        <v>12055</v>
      </c>
      <c r="K4832">
        <v>0</v>
      </c>
      <c r="L4832">
        <v>112</v>
      </c>
    </row>
    <row r="4833" spans="1:12">
      <c r="A4833" s="183" t="s">
        <v>5980</v>
      </c>
      <c r="B4833" s="183" t="s">
        <v>5914</v>
      </c>
      <c r="C4833">
        <v>8800322957479</v>
      </c>
      <c r="D4833">
        <v>149</v>
      </c>
      <c r="E4833">
        <v>0</v>
      </c>
      <c r="F4833">
        <v>0</v>
      </c>
      <c r="G4833">
        <v>0</v>
      </c>
      <c r="H4833">
        <v>149</v>
      </c>
      <c r="I4833" s="183" t="s">
        <v>5915</v>
      </c>
      <c r="J4833" s="183" t="s">
        <v>12052</v>
      </c>
      <c r="K4833">
        <v>0</v>
      </c>
      <c r="L4833">
        <v>149</v>
      </c>
    </row>
    <row r="4834" spans="1:12">
      <c r="A4834" s="183" t="s">
        <v>5981</v>
      </c>
      <c r="B4834" s="183" t="s">
        <v>5914</v>
      </c>
      <c r="C4834">
        <v>8800322957486</v>
      </c>
      <c r="D4834">
        <v>118</v>
      </c>
      <c r="E4834">
        <v>0</v>
      </c>
      <c r="F4834">
        <v>0</v>
      </c>
      <c r="G4834">
        <v>0</v>
      </c>
      <c r="H4834">
        <v>118</v>
      </c>
      <c r="I4834" s="183" t="s">
        <v>5915</v>
      </c>
      <c r="J4834" s="183" t="s">
        <v>12066</v>
      </c>
      <c r="K4834">
        <v>0</v>
      </c>
      <c r="L4834">
        <v>118</v>
      </c>
    </row>
    <row r="4835" spans="1:12">
      <c r="A4835" s="183" t="s">
        <v>5982</v>
      </c>
      <c r="B4835" s="183" t="s">
        <v>5914</v>
      </c>
      <c r="C4835">
        <v>8800322957509</v>
      </c>
      <c r="D4835">
        <v>104</v>
      </c>
      <c r="E4835">
        <v>0</v>
      </c>
      <c r="F4835">
        <v>0</v>
      </c>
      <c r="G4835">
        <v>0</v>
      </c>
      <c r="H4835">
        <v>104</v>
      </c>
      <c r="I4835" s="183" t="s">
        <v>5915</v>
      </c>
      <c r="J4835" s="183" t="s">
        <v>12048</v>
      </c>
      <c r="K4835">
        <v>0</v>
      </c>
      <c r="L4835">
        <v>104</v>
      </c>
    </row>
    <row r="4836" spans="1:12">
      <c r="A4836" s="183" t="s">
        <v>6010</v>
      </c>
      <c r="B4836" s="183" t="s">
        <v>5995</v>
      </c>
      <c r="C4836">
        <v>8800322957615</v>
      </c>
      <c r="D4836">
        <v>110</v>
      </c>
      <c r="E4836">
        <v>0</v>
      </c>
      <c r="F4836">
        <v>0</v>
      </c>
      <c r="G4836">
        <v>0</v>
      </c>
      <c r="H4836">
        <v>110</v>
      </c>
      <c r="I4836" s="183" t="s">
        <v>5999</v>
      </c>
      <c r="J4836" s="183" t="s">
        <v>12048</v>
      </c>
      <c r="K4836">
        <v>0</v>
      </c>
      <c r="L4836">
        <v>110</v>
      </c>
    </row>
    <row r="4837" spans="1:12">
      <c r="A4837" s="183" t="s">
        <v>6011</v>
      </c>
      <c r="B4837" s="183" t="s">
        <v>5995</v>
      </c>
      <c r="C4837">
        <v>8800322957653</v>
      </c>
      <c r="D4837">
        <v>109</v>
      </c>
      <c r="E4837">
        <v>0</v>
      </c>
      <c r="F4837">
        <v>0</v>
      </c>
      <c r="G4837">
        <v>0</v>
      </c>
      <c r="H4837">
        <v>109</v>
      </c>
      <c r="I4837" s="183" t="s">
        <v>5999</v>
      </c>
      <c r="J4837" s="183" t="s">
        <v>12057</v>
      </c>
      <c r="K4837">
        <v>0</v>
      </c>
      <c r="L4837">
        <v>109</v>
      </c>
    </row>
    <row r="4838" spans="1:12">
      <c r="A4838" s="183" t="s">
        <v>9102</v>
      </c>
      <c r="B4838" s="183" t="s">
        <v>8644</v>
      </c>
      <c r="C4838">
        <v>8800358456465</v>
      </c>
      <c r="D4838">
        <v>470</v>
      </c>
      <c r="E4838">
        <v>0</v>
      </c>
      <c r="F4838">
        <v>0</v>
      </c>
      <c r="G4838">
        <v>0</v>
      </c>
      <c r="H4838">
        <v>470</v>
      </c>
      <c r="I4838" s="183" t="s">
        <v>8996</v>
      </c>
      <c r="J4838" s="183" t="s">
        <v>12061</v>
      </c>
      <c r="K4838">
        <v>0</v>
      </c>
      <c r="L4838">
        <v>470</v>
      </c>
    </row>
    <row r="4839" spans="1:12">
      <c r="A4839" s="183" t="s">
        <v>9103</v>
      </c>
      <c r="B4839" s="183" t="s">
        <v>8644</v>
      </c>
      <c r="C4839">
        <v>8800358456632</v>
      </c>
      <c r="D4839">
        <v>155</v>
      </c>
      <c r="E4839">
        <v>0</v>
      </c>
      <c r="F4839">
        <v>0</v>
      </c>
      <c r="G4839">
        <v>0</v>
      </c>
      <c r="H4839">
        <v>155</v>
      </c>
      <c r="I4839" s="183" t="s">
        <v>8996</v>
      </c>
      <c r="J4839" s="183" t="s">
        <v>12066</v>
      </c>
      <c r="K4839">
        <v>0</v>
      </c>
      <c r="L4839">
        <v>155</v>
      </c>
    </row>
    <row r="4840" spans="1:12">
      <c r="A4840" s="183" t="s">
        <v>3762</v>
      </c>
      <c r="B4840" s="183" t="s">
        <v>1001</v>
      </c>
      <c r="C4840">
        <v>33050200</v>
      </c>
      <c r="D4840">
        <v>150</v>
      </c>
      <c r="E4840">
        <v>0</v>
      </c>
      <c r="F4840">
        <v>4</v>
      </c>
      <c r="G4840">
        <v>0</v>
      </c>
      <c r="H4840">
        <v>154</v>
      </c>
      <c r="I4840" s="183" t="s">
        <v>1002</v>
      </c>
      <c r="J4840" s="183" t="s">
        <v>12057</v>
      </c>
      <c r="K4840">
        <v>0</v>
      </c>
      <c r="L4840">
        <v>150</v>
      </c>
    </row>
    <row r="4841" spans="1:12">
      <c r="A4841" s="183" t="s">
        <v>3542</v>
      </c>
      <c r="B4841" s="183" t="s">
        <v>1001</v>
      </c>
      <c r="C4841">
        <v>33050216</v>
      </c>
      <c r="D4841">
        <v>137</v>
      </c>
      <c r="E4841">
        <v>0</v>
      </c>
      <c r="F4841">
        <v>21</v>
      </c>
      <c r="G4841">
        <v>0</v>
      </c>
      <c r="H4841">
        <v>158</v>
      </c>
      <c r="I4841" s="183" t="s">
        <v>1002</v>
      </c>
      <c r="J4841" s="183" t="s">
        <v>12054</v>
      </c>
      <c r="K4841">
        <v>0</v>
      </c>
      <c r="L4841">
        <v>137</v>
      </c>
    </row>
    <row r="4842" spans="1:12">
      <c r="A4842" s="183" t="s">
        <v>591</v>
      </c>
      <c r="B4842" s="183" t="s">
        <v>1001</v>
      </c>
      <c r="C4842">
        <v>33050228</v>
      </c>
      <c r="D4842">
        <v>32</v>
      </c>
      <c r="E4842">
        <v>0</v>
      </c>
      <c r="F4842">
        <v>0</v>
      </c>
      <c r="G4842">
        <v>0</v>
      </c>
      <c r="H4842">
        <v>32</v>
      </c>
      <c r="I4842" s="183" t="s">
        <v>1002</v>
      </c>
      <c r="J4842" s="183" t="s">
        <v>12052</v>
      </c>
      <c r="K4842">
        <v>0</v>
      </c>
      <c r="L4842">
        <v>32</v>
      </c>
    </row>
    <row r="4843" spans="1:12">
      <c r="A4843" s="183" t="s">
        <v>596</v>
      </c>
      <c r="B4843" s="183" t="s">
        <v>979</v>
      </c>
      <c r="C4843">
        <v>35010203</v>
      </c>
      <c r="D4843">
        <v>23</v>
      </c>
      <c r="E4843">
        <v>0</v>
      </c>
      <c r="F4843">
        <v>41</v>
      </c>
      <c r="G4843">
        <v>0</v>
      </c>
      <c r="H4843">
        <v>64</v>
      </c>
      <c r="I4843" s="183" t="s">
        <v>980</v>
      </c>
      <c r="J4843" s="183" t="s">
        <v>12067</v>
      </c>
      <c r="K4843">
        <v>0</v>
      </c>
      <c r="L4843">
        <v>23</v>
      </c>
    </row>
    <row r="4844" spans="1:12">
      <c r="A4844" s="183" t="s">
        <v>3548</v>
      </c>
      <c r="B4844" s="183" t="s">
        <v>979</v>
      </c>
      <c r="C4844">
        <v>35010222</v>
      </c>
      <c r="D4844">
        <v>145</v>
      </c>
      <c r="E4844">
        <v>0</v>
      </c>
      <c r="F4844">
        <v>5</v>
      </c>
      <c r="G4844">
        <v>0</v>
      </c>
      <c r="H4844">
        <v>150</v>
      </c>
      <c r="I4844" s="183" t="s">
        <v>980</v>
      </c>
      <c r="J4844" s="183" t="s">
        <v>12093</v>
      </c>
      <c r="K4844">
        <v>0</v>
      </c>
      <c r="L4844">
        <v>145</v>
      </c>
    </row>
    <row r="4845" spans="1:12">
      <c r="A4845" s="183" t="s">
        <v>602</v>
      </c>
      <c r="B4845" s="183" t="s">
        <v>979</v>
      </c>
      <c r="C4845">
        <v>35010223</v>
      </c>
      <c r="D4845">
        <v>81</v>
      </c>
      <c r="E4845">
        <v>0</v>
      </c>
      <c r="F4845">
        <v>7</v>
      </c>
      <c r="G4845">
        <v>0</v>
      </c>
      <c r="H4845">
        <v>88</v>
      </c>
      <c r="I4845" s="183" t="s">
        <v>980</v>
      </c>
      <c r="J4845" s="183" t="s">
        <v>12063</v>
      </c>
      <c r="K4845">
        <v>0</v>
      </c>
      <c r="L4845">
        <v>81</v>
      </c>
    </row>
    <row r="4846" spans="1:12">
      <c r="A4846" s="183" t="s">
        <v>606</v>
      </c>
      <c r="B4846" s="183" t="s">
        <v>979</v>
      </c>
      <c r="C4846">
        <v>35010230</v>
      </c>
      <c r="D4846">
        <v>51</v>
      </c>
      <c r="E4846">
        <v>0</v>
      </c>
      <c r="F4846">
        <v>7</v>
      </c>
      <c r="G4846">
        <v>0</v>
      </c>
      <c r="H4846">
        <v>58</v>
      </c>
      <c r="I4846" s="183" t="s">
        <v>980</v>
      </c>
      <c r="J4846" s="183" t="s">
        <v>12057</v>
      </c>
      <c r="K4846">
        <v>0</v>
      </c>
      <c r="L4846">
        <v>51</v>
      </c>
    </row>
    <row r="4847" spans="1:12">
      <c r="A4847" s="183" t="s">
        <v>613</v>
      </c>
      <c r="B4847" s="183" t="s">
        <v>1008</v>
      </c>
      <c r="C4847">
        <v>35020204</v>
      </c>
      <c r="D4847">
        <v>49</v>
      </c>
      <c r="E4847">
        <v>0</v>
      </c>
      <c r="F4847">
        <v>94</v>
      </c>
      <c r="G4847">
        <v>0</v>
      </c>
      <c r="H4847">
        <v>143</v>
      </c>
      <c r="I4847" s="183" t="s">
        <v>1009</v>
      </c>
      <c r="J4847" s="183" t="s">
        <v>12059</v>
      </c>
      <c r="K4847">
        <v>0</v>
      </c>
      <c r="L4847">
        <v>49</v>
      </c>
    </row>
    <row r="4848" spans="1:12">
      <c r="A4848" s="183" t="s">
        <v>616</v>
      </c>
      <c r="B4848" s="183" t="s">
        <v>1008</v>
      </c>
      <c r="C4848">
        <v>35020207</v>
      </c>
      <c r="D4848">
        <v>99</v>
      </c>
      <c r="E4848">
        <v>0</v>
      </c>
      <c r="F4848">
        <v>0</v>
      </c>
      <c r="G4848">
        <v>0</v>
      </c>
      <c r="H4848">
        <v>99</v>
      </c>
      <c r="I4848" s="183" t="s">
        <v>1009</v>
      </c>
      <c r="J4848" s="183" t="s">
        <v>12093</v>
      </c>
      <c r="K4848">
        <v>0</v>
      </c>
      <c r="L4848">
        <v>99</v>
      </c>
    </row>
    <row r="4849" spans="1:12">
      <c r="A4849" s="183" t="s">
        <v>618</v>
      </c>
      <c r="B4849" s="183" t="s">
        <v>1008</v>
      </c>
      <c r="C4849">
        <v>35020209</v>
      </c>
      <c r="D4849">
        <v>84</v>
      </c>
      <c r="E4849">
        <v>0</v>
      </c>
      <c r="F4849">
        <v>48</v>
      </c>
      <c r="G4849">
        <v>0</v>
      </c>
      <c r="H4849">
        <v>132</v>
      </c>
      <c r="I4849" s="183" t="s">
        <v>1009</v>
      </c>
      <c r="J4849" s="183" t="s">
        <v>12081</v>
      </c>
      <c r="K4849">
        <v>0</v>
      </c>
      <c r="L4849">
        <v>84</v>
      </c>
    </row>
    <row r="4850" spans="1:12">
      <c r="A4850" s="183" t="s">
        <v>3534</v>
      </c>
      <c r="B4850" s="183" t="s">
        <v>1008</v>
      </c>
      <c r="C4850">
        <v>35020214</v>
      </c>
      <c r="D4850">
        <v>54</v>
      </c>
      <c r="E4850">
        <v>0</v>
      </c>
      <c r="F4850">
        <v>6</v>
      </c>
      <c r="G4850">
        <v>0</v>
      </c>
      <c r="H4850">
        <v>60</v>
      </c>
      <c r="I4850" s="183" t="s">
        <v>1009</v>
      </c>
      <c r="J4850" s="183" t="s">
        <v>12054</v>
      </c>
      <c r="K4850">
        <v>0</v>
      </c>
      <c r="L4850">
        <v>54</v>
      </c>
    </row>
    <row r="4851" spans="1:12">
      <c r="A4851" s="183" t="s">
        <v>2993</v>
      </c>
      <c r="B4851" s="183" t="s">
        <v>1008</v>
      </c>
      <c r="C4851">
        <v>35020217</v>
      </c>
      <c r="D4851">
        <v>25</v>
      </c>
      <c r="E4851">
        <v>0</v>
      </c>
      <c r="F4851">
        <v>24</v>
      </c>
      <c r="G4851">
        <v>0</v>
      </c>
      <c r="H4851">
        <v>49</v>
      </c>
      <c r="I4851" s="183" t="s">
        <v>1009</v>
      </c>
      <c r="J4851" s="183" t="s">
        <v>12067</v>
      </c>
      <c r="K4851">
        <v>0</v>
      </c>
      <c r="L4851">
        <v>25</v>
      </c>
    </row>
    <row r="4852" spans="1:12">
      <c r="A4852" s="183" t="s">
        <v>621</v>
      </c>
      <c r="B4852" s="183" t="s">
        <v>1008</v>
      </c>
      <c r="C4852">
        <v>35020218</v>
      </c>
      <c r="D4852">
        <v>174</v>
      </c>
      <c r="E4852">
        <v>0</v>
      </c>
      <c r="F4852">
        <v>6</v>
      </c>
      <c r="G4852">
        <v>0</v>
      </c>
      <c r="H4852">
        <v>180</v>
      </c>
      <c r="I4852" s="183" t="s">
        <v>1009</v>
      </c>
      <c r="J4852" s="183" t="s">
        <v>12048</v>
      </c>
      <c r="K4852">
        <v>0</v>
      </c>
      <c r="L4852">
        <v>174</v>
      </c>
    </row>
    <row r="4853" spans="1:12">
      <c r="A4853" s="183" t="s">
        <v>9105</v>
      </c>
      <c r="B4853" s="183" t="s">
        <v>8645</v>
      </c>
      <c r="C4853">
        <v>8800358457103</v>
      </c>
      <c r="D4853">
        <v>380</v>
      </c>
      <c r="E4853">
        <v>0</v>
      </c>
      <c r="F4853">
        <v>0</v>
      </c>
      <c r="G4853">
        <v>0</v>
      </c>
      <c r="H4853">
        <v>380</v>
      </c>
      <c r="I4853" s="183" t="s">
        <v>9002</v>
      </c>
      <c r="J4853" s="183" t="s">
        <v>12055</v>
      </c>
      <c r="K4853">
        <v>0</v>
      </c>
      <c r="L4853">
        <v>380</v>
      </c>
    </row>
    <row r="4854" spans="1:12">
      <c r="A4854" s="183" t="s">
        <v>9106</v>
      </c>
      <c r="B4854" s="183" t="s">
        <v>8648</v>
      </c>
      <c r="C4854">
        <v>8800358457196</v>
      </c>
      <c r="D4854">
        <v>410</v>
      </c>
      <c r="E4854">
        <v>0</v>
      </c>
      <c r="F4854">
        <v>0</v>
      </c>
      <c r="G4854">
        <v>0</v>
      </c>
      <c r="H4854">
        <v>410</v>
      </c>
      <c r="I4854" s="183" t="s">
        <v>8824</v>
      </c>
      <c r="J4854" s="183" t="s">
        <v>12095</v>
      </c>
      <c r="K4854">
        <v>0</v>
      </c>
      <c r="L4854">
        <v>410</v>
      </c>
    </row>
    <row r="4855" spans="1:12">
      <c r="A4855" s="183" t="s">
        <v>8830</v>
      </c>
      <c r="B4855" s="183" t="s">
        <v>8648</v>
      </c>
      <c r="C4855">
        <v>8800358457295</v>
      </c>
      <c r="D4855">
        <v>173</v>
      </c>
      <c r="E4855">
        <v>0</v>
      </c>
      <c r="F4855">
        <v>0</v>
      </c>
      <c r="G4855">
        <v>0</v>
      </c>
      <c r="H4855">
        <v>173</v>
      </c>
      <c r="I4855" s="183" t="s">
        <v>8824</v>
      </c>
      <c r="J4855" s="183" t="s">
        <v>12063</v>
      </c>
      <c r="K4855">
        <v>0</v>
      </c>
      <c r="L4855">
        <v>173</v>
      </c>
    </row>
    <row r="4856" spans="1:12">
      <c r="A4856" s="183" t="s">
        <v>8831</v>
      </c>
      <c r="B4856" s="183" t="s">
        <v>8648</v>
      </c>
      <c r="C4856">
        <v>8800358457318</v>
      </c>
      <c r="D4856">
        <v>187</v>
      </c>
      <c r="E4856">
        <v>0</v>
      </c>
      <c r="F4856">
        <v>0</v>
      </c>
      <c r="G4856">
        <v>0</v>
      </c>
      <c r="H4856">
        <v>187</v>
      </c>
      <c r="I4856" s="183" t="s">
        <v>8824</v>
      </c>
      <c r="J4856" s="183" t="s">
        <v>12095</v>
      </c>
      <c r="K4856">
        <v>0</v>
      </c>
      <c r="L4856">
        <v>187</v>
      </c>
    </row>
    <row r="4857" spans="1:12">
      <c r="A4857" s="183" t="s">
        <v>8832</v>
      </c>
      <c r="B4857" s="183" t="s">
        <v>8648</v>
      </c>
      <c r="C4857">
        <v>8800358457325</v>
      </c>
      <c r="D4857">
        <v>209</v>
      </c>
      <c r="E4857">
        <v>0</v>
      </c>
      <c r="F4857">
        <v>0</v>
      </c>
      <c r="G4857">
        <v>0</v>
      </c>
      <c r="H4857">
        <v>209</v>
      </c>
      <c r="I4857" s="183" t="s">
        <v>8824</v>
      </c>
      <c r="J4857" s="183" t="s">
        <v>12055</v>
      </c>
      <c r="K4857">
        <v>0</v>
      </c>
      <c r="L4857">
        <v>209</v>
      </c>
    </row>
    <row r="4858" spans="1:12">
      <c r="A4858" s="183" t="s">
        <v>8653</v>
      </c>
      <c r="B4858" s="183" t="s">
        <v>8648</v>
      </c>
      <c r="C4858">
        <v>8800358457387</v>
      </c>
      <c r="D4858">
        <v>317</v>
      </c>
      <c r="E4858">
        <v>0</v>
      </c>
      <c r="F4858">
        <v>0</v>
      </c>
      <c r="G4858">
        <v>0</v>
      </c>
      <c r="H4858">
        <v>317</v>
      </c>
      <c r="I4858" s="183" t="s">
        <v>8649</v>
      </c>
      <c r="J4858" s="183" t="s">
        <v>12095</v>
      </c>
      <c r="K4858">
        <v>0</v>
      </c>
      <c r="L4858">
        <v>317</v>
      </c>
    </row>
    <row r="4859" spans="1:12">
      <c r="A4859" s="183" t="s">
        <v>8650</v>
      </c>
      <c r="B4859" s="183" t="s">
        <v>8648</v>
      </c>
      <c r="C4859">
        <v>8800358457479</v>
      </c>
      <c r="D4859">
        <v>294</v>
      </c>
      <c r="E4859">
        <v>0</v>
      </c>
      <c r="F4859">
        <v>0</v>
      </c>
      <c r="G4859">
        <v>0</v>
      </c>
      <c r="H4859">
        <v>294</v>
      </c>
      <c r="I4859" s="183" t="s">
        <v>8649</v>
      </c>
      <c r="J4859" s="183" t="s">
        <v>12095</v>
      </c>
      <c r="K4859">
        <v>0</v>
      </c>
      <c r="L4859">
        <v>294</v>
      </c>
    </row>
    <row r="4860" spans="1:12">
      <c r="A4860" s="183" t="s">
        <v>8647</v>
      </c>
      <c r="B4860" s="183" t="s">
        <v>8648</v>
      </c>
      <c r="C4860">
        <v>8800358457493</v>
      </c>
      <c r="D4860">
        <v>276</v>
      </c>
      <c r="E4860">
        <v>0</v>
      </c>
      <c r="F4860">
        <v>0</v>
      </c>
      <c r="G4860">
        <v>0</v>
      </c>
      <c r="H4860">
        <v>276</v>
      </c>
      <c r="I4860" s="183" t="s">
        <v>8649</v>
      </c>
      <c r="J4860" s="183" t="s">
        <v>12066</v>
      </c>
      <c r="K4860">
        <v>0</v>
      </c>
      <c r="L4860">
        <v>276</v>
      </c>
    </row>
    <row r="4861" spans="1:12">
      <c r="A4861" s="183" t="s">
        <v>8678</v>
      </c>
      <c r="B4861" s="183" t="s">
        <v>8648</v>
      </c>
      <c r="C4861">
        <v>8800358457578</v>
      </c>
      <c r="D4861">
        <v>292</v>
      </c>
      <c r="E4861">
        <v>0</v>
      </c>
      <c r="F4861">
        <v>0</v>
      </c>
      <c r="G4861">
        <v>0</v>
      </c>
      <c r="H4861">
        <v>292</v>
      </c>
      <c r="I4861" s="183" t="s">
        <v>8649</v>
      </c>
      <c r="J4861" s="183" t="s">
        <v>12055</v>
      </c>
      <c r="K4861">
        <v>0</v>
      </c>
      <c r="L4861">
        <v>292</v>
      </c>
    </row>
    <row r="4862" spans="1:12">
      <c r="A4862" s="183" t="s">
        <v>8673</v>
      </c>
      <c r="B4862" s="183" t="s">
        <v>8648</v>
      </c>
      <c r="C4862">
        <v>8800358457585</v>
      </c>
      <c r="D4862">
        <v>216</v>
      </c>
      <c r="E4862">
        <v>0</v>
      </c>
      <c r="F4862">
        <v>0</v>
      </c>
      <c r="G4862">
        <v>0</v>
      </c>
      <c r="H4862">
        <v>216</v>
      </c>
      <c r="I4862" s="183" t="s">
        <v>8649</v>
      </c>
      <c r="J4862" s="183" t="s">
        <v>12063</v>
      </c>
      <c r="K4862">
        <v>0</v>
      </c>
      <c r="L4862">
        <v>216</v>
      </c>
    </row>
    <row r="4863" spans="1:12">
      <c r="A4863" s="183" t="s">
        <v>8679</v>
      </c>
      <c r="B4863" s="183" t="s">
        <v>8648</v>
      </c>
      <c r="C4863">
        <v>8800358457608</v>
      </c>
      <c r="D4863">
        <v>358</v>
      </c>
      <c r="E4863">
        <v>0</v>
      </c>
      <c r="F4863">
        <v>0</v>
      </c>
      <c r="G4863">
        <v>0</v>
      </c>
      <c r="H4863">
        <v>358</v>
      </c>
      <c r="I4863" s="183" t="s">
        <v>8649</v>
      </c>
      <c r="J4863" s="183" t="s">
        <v>12055</v>
      </c>
      <c r="K4863">
        <v>0</v>
      </c>
      <c r="L4863">
        <v>358</v>
      </c>
    </row>
    <row r="4864" spans="1:12">
      <c r="A4864" s="183" t="s">
        <v>9107</v>
      </c>
      <c r="B4864" s="183" t="s">
        <v>9004</v>
      </c>
      <c r="C4864">
        <v>8800358459015</v>
      </c>
      <c r="D4864">
        <v>130</v>
      </c>
      <c r="E4864">
        <v>0</v>
      </c>
      <c r="F4864">
        <v>0</v>
      </c>
      <c r="G4864">
        <v>0</v>
      </c>
      <c r="H4864">
        <v>130</v>
      </c>
      <c r="I4864" s="183" t="s">
        <v>9005</v>
      </c>
      <c r="J4864" s="183" t="s">
        <v>12087</v>
      </c>
      <c r="K4864">
        <v>0</v>
      </c>
      <c r="L4864">
        <v>130</v>
      </c>
    </row>
    <row r="4865" spans="1:12">
      <c r="A4865" s="183" t="s">
        <v>9108</v>
      </c>
      <c r="B4865" s="183" t="s">
        <v>9004</v>
      </c>
      <c r="C4865">
        <v>8800358459039</v>
      </c>
      <c r="D4865">
        <v>130</v>
      </c>
      <c r="E4865">
        <v>0</v>
      </c>
      <c r="F4865">
        <v>0</v>
      </c>
      <c r="G4865">
        <v>0</v>
      </c>
      <c r="H4865">
        <v>130</v>
      </c>
      <c r="I4865" s="183" t="s">
        <v>9005</v>
      </c>
      <c r="J4865" s="183" t="s">
        <v>12055</v>
      </c>
      <c r="K4865">
        <v>0</v>
      </c>
      <c r="L4865">
        <v>130</v>
      </c>
    </row>
    <row r="4866" spans="1:12">
      <c r="A4866" s="183" t="s">
        <v>9109</v>
      </c>
      <c r="B4866" s="183" t="s">
        <v>9004</v>
      </c>
      <c r="C4866">
        <v>8800358459169</v>
      </c>
      <c r="D4866">
        <v>130</v>
      </c>
      <c r="E4866">
        <v>0</v>
      </c>
      <c r="F4866">
        <v>0</v>
      </c>
      <c r="G4866">
        <v>0</v>
      </c>
      <c r="H4866">
        <v>130</v>
      </c>
      <c r="I4866" s="183" t="s">
        <v>9005</v>
      </c>
      <c r="J4866" s="183" t="s">
        <v>12095</v>
      </c>
      <c r="K4866">
        <v>0</v>
      </c>
      <c r="L4866">
        <v>130</v>
      </c>
    </row>
    <row r="4867" spans="1:12">
      <c r="A4867" s="183" t="s">
        <v>9110</v>
      </c>
      <c r="B4867" s="183" t="s">
        <v>9004</v>
      </c>
      <c r="C4867">
        <v>8800358459190</v>
      </c>
      <c r="D4867">
        <v>130</v>
      </c>
      <c r="E4867">
        <v>0</v>
      </c>
      <c r="F4867">
        <v>0</v>
      </c>
      <c r="G4867">
        <v>0</v>
      </c>
      <c r="H4867">
        <v>130</v>
      </c>
      <c r="I4867" s="183" t="s">
        <v>9005</v>
      </c>
      <c r="J4867" s="183" t="s">
        <v>12066</v>
      </c>
      <c r="K4867">
        <v>0</v>
      </c>
      <c r="L4867">
        <v>130</v>
      </c>
    </row>
    <row r="4868" spans="1:12">
      <c r="A4868" s="183" t="s">
        <v>9111</v>
      </c>
      <c r="B4868" s="183" t="s">
        <v>9008</v>
      </c>
      <c r="C4868">
        <v>8800358459350</v>
      </c>
      <c r="D4868">
        <v>130</v>
      </c>
      <c r="E4868">
        <v>0</v>
      </c>
      <c r="F4868">
        <v>0</v>
      </c>
      <c r="G4868">
        <v>0</v>
      </c>
      <c r="H4868">
        <v>130</v>
      </c>
      <c r="I4868" s="183" t="s">
        <v>9009</v>
      </c>
      <c r="J4868" s="183" t="s">
        <v>12087</v>
      </c>
      <c r="K4868">
        <v>0</v>
      </c>
      <c r="L4868">
        <v>130</v>
      </c>
    </row>
    <row r="4869" spans="1:12">
      <c r="A4869" s="183" t="s">
        <v>9112</v>
      </c>
      <c r="B4869" s="183" t="s">
        <v>9008</v>
      </c>
      <c r="C4869">
        <v>8800358459374</v>
      </c>
      <c r="D4869">
        <v>130</v>
      </c>
      <c r="E4869">
        <v>0</v>
      </c>
      <c r="F4869">
        <v>0</v>
      </c>
      <c r="G4869">
        <v>0</v>
      </c>
      <c r="H4869">
        <v>130</v>
      </c>
      <c r="I4869" s="183" t="s">
        <v>9009</v>
      </c>
      <c r="J4869" s="183" t="s">
        <v>12066</v>
      </c>
      <c r="K4869">
        <v>0</v>
      </c>
      <c r="L4869">
        <v>130</v>
      </c>
    </row>
    <row r="4870" spans="1:12">
      <c r="A4870" s="183" t="s">
        <v>9113</v>
      </c>
      <c r="B4870" s="183" t="s">
        <v>9008</v>
      </c>
      <c r="C4870">
        <v>8800358459411</v>
      </c>
      <c r="D4870">
        <v>130</v>
      </c>
      <c r="E4870">
        <v>0</v>
      </c>
      <c r="F4870">
        <v>0</v>
      </c>
      <c r="G4870">
        <v>0</v>
      </c>
      <c r="H4870">
        <v>130</v>
      </c>
      <c r="I4870" s="183" t="s">
        <v>9009</v>
      </c>
      <c r="J4870" s="183" t="s">
        <v>12063</v>
      </c>
      <c r="K4870">
        <v>0</v>
      </c>
      <c r="L4870">
        <v>130</v>
      </c>
    </row>
    <row r="4871" spans="1:12">
      <c r="A4871" s="183" t="s">
        <v>9114</v>
      </c>
      <c r="B4871" s="183" t="s">
        <v>9013</v>
      </c>
      <c r="C4871">
        <v>8800358459503</v>
      </c>
      <c r="D4871">
        <v>130</v>
      </c>
      <c r="E4871">
        <v>0</v>
      </c>
      <c r="F4871">
        <v>0</v>
      </c>
      <c r="G4871">
        <v>0</v>
      </c>
      <c r="H4871">
        <v>130</v>
      </c>
      <c r="I4871" s="183" t="s">
        <v>9014</v>
      </c>
      <c r="J4871" s="183" t="s">
        <v>12063</v>
      </c>
      <c r="K4871">
        <v>0</v>
      </c>
      <c r="L4871">
        <v>130</v>
      </c>
    </row>
    <row r="4872" spans="1:12">
      <c r="A4872" s="183" t="s">
        <v>9115</v>
      </c>
      <c r="B4872" s="183" t="s">
        <v>9013</v>
      </c>
      <c r="C4872">
        <v>8800358459534</v>
      </c>
      <c r="D4872">
        <v>130</v>
      </c>
      <c r="E4872">
        <v>0</v>
      </c>
      <c r="F4872">
        <v>0</v>
      </c>
      <c r="G4872">
        <v>0</v>
      </c>
      <c r="H4872">
        <v>130</v>
      </c>
      <c r="I4872" s="183" t="s">
        <v>9014</v>
      </c>
      <c r="J4872" s="183" t="s">
        <v>12061</v>
      </c>
      <c r="K4872">
        <v>0</v>
      </c>
      <c r="L4872">
        <v>130</v>
      </c>
    </row>
    <row r="4873" spans="1:12">
      <c r="A4873" s="183" t="s">
        <v>8798</v>
      </c>
      <c r="B4873" s="183" t="s">
        <v>8776</v>
      </c>
      <c r="C4873">
        <v>8800358459855</v>
      </c>
      <c r="D4873">
        <v>130</v>
      </c>
      <c r="E4873">
        <v>0</v>
      </c>
      <c r="F4873">
        <v>0</v>
      </c>
      <c r="G4873">
        <v>0</v>
      </c>
      <c r="H4873">
        <v>130</v>
      </c>
      <c r="I4873" s="183" t="s">
        <v>8777</v>
      </c>
      <c r="J4873" s="183" t="s">
        <v>12055</v>
      </c>
      <c r="K4873">
        <v>0</v>
      </c>
      <c r="L4873">
        <v>130</v>
      </c>
    </row>
    <row r="4874" spans="1:12">
      <c r="A4874" s="183" t="s">
        <v>8799</v>
      </c>
      <c r="B4874" s="183" t="s">
        <v>8776</v>
      </c>
      <c r="C4874">
        <v>8800358459879</v>
      </c>
      <c r="D4874">
        <v>130</v>
      </c>
      <c r="E4874">
        <v>0</v>
      </c>
      <c r="F4874">
        <v>0</v>
      </c>
      <c r="G4874">
        <v>0</v>
      </c>
      <c r="H4874">
        <v>130</v>
      </c>
      <c r="I4874" s="183" t="s">
        <v>8777</v>
      </c>
      <c r="J4874" s="183" t="s">
        <v>12087</v>
      </c>
      <c r="K4874">
        <v>0</v>
      </c>
      <c r="L4874">
        <v>130</v>
      </c>
    </row>
    <row r="4875" spans="1:12">
      <c r="A4875" s="183" t="s">
        <v>8951</v>
      </c>
      <c r="B4875" s="183" t="s">
        <v>8927</v>
      </c>
      <c r="C4875">
        <v>8800358460110</v>
      </c>
      <c r="D4875">
        <v>45</v>
      </c>
      <c r="E4875">
        <v>0</v>
      </c>
      <c r="F4875">
        <v>0</v>
      </c>
      <c r="G4875">
        <v>0</v>
      </c>
      <c r="H4875">
        <v>45</v>
      </c>
      <c r="I4875" s="183" t="s">
        <v>8928</v>
      </c>
      <c r="J4875" s="183" t="s">
        <v>12055</v>
      </c>
      <c r="K4875">
        <v>0</v>
      </c>
      <c r="L4875">
        <v>45</v>
      </c>
    </row>
    <row r="4876" spans="1:12">
      <c r="A4876" s="183" t="s">
        <v>8952</v>
      </c>
      <c r="B4876" s="183" t="s">
        <v>8927</v>
      </c>
      <c r="C4876">
        <v>8800358460172</v>
      </c>
      <c r="D4876">
        <v>45</v>
      </c>
      <c r="E4876">
        <v>0</v>
      </c>
      <c r="F4876">
        <v>0</v>
      </c>
      <c r="G4876">
        <v>0</v>
      </c>
      <c r="H4876">
        <v>45</v>
      </c>
      <c r="I4876" s="183" t="s">
        <v>8928</v>
      </c>
      <c r="J4876" s="183" t="s">
        <v>12087</v>
      </c>
      <c r="K4876">
        <v>0</v>
      </c>
      <c r="L4876">
        <v>45</v>
      </c>
    </row>
    <row r="4877" spans="1:12">
      <c r="A4877" s="183" t="s">
        <v>8953</v>
      </c>
      <c r="B4877" s="183" t="s">
        <v>8927</v>
      </c>
      <c r="C4877">
        <v>8800358460219</v>
      </c>
      <c r="D4877">
        <v>15</v>
      </c>
      <c r="E4877">
        <v>0</v>
      </c>
      <c r="F4877">
        <v>0</v>
      </c>
      <c r="G4877">
        <v>0</v>
      </c>
      <c r="H4877">
        <v>15</v>
      </c>
      <c r="I4877" s="183" t="s">
        <v>8928</v>
      </c>
      <c r="J4877" s="183" t="s">
        <v>12048</v>
      </c>
      <c r="K4877">
        <v>0</v>
      </c>
      <c r="L4877">
        <v>15</v>
      </c>
    </row>
    <row r="4878" spans="1:12">
      <c r="A4878" s="183" t="s">
        <v>8731</v>
      </c>
      <c r="B4878" s="183" t="s">
        <v>8688</v>
      </c>
      <c r="C4878">
        <v>8800358460226</v>
      </c>
      <c r="D4878">
        <v>250</v>
      </c>
      <c r="E4878">
        <v>0</v>
      </c>
      <c r="F4878">
        <v>0</v>
      </c>
      <c r="G4878">
        <v>0</v>
      </c>
      <c r="H4878">
        <v>250</v>
      </c>
      <c r="I4878" s="183" t="s">
        <v>8689</v>
      </c>
      <c r="J4878" s="183" t="s">
        <v>12066</v>
      </c>
      <c r="K4878">
        <v>0</v>
      </c>
      <c r="L4878">
        <v>250</v>
      </c>
    </row>
    <row r="4879" spans="1:12">
      <c r="A4879" s="183" t="s">
        <v>8732</v>
      </c>
      <c r="B4879" s="183" t="s">
        <v>8688</v>
      </c>
      <c r="C4879">
        <v>8800358460332</v>
      </c>
      <c r="D4879">
        <v>135</v>
      </c>
      <c r="E4879">
        <v>0</v>
      </c>
      <c r="F4879">
        <v>0</v>
      </c>
      <c r="G4879">
        <v>0</v>
      </c>
      <c r="H4879">
        <v>135</v>
      </c>
      <c r="I4879" s="183" t="s">
        <v>8689</v>
      </c>
      <c r="J4879" s="183" t="s">
        <v>12063</v>
      </c>
      <c r="K4879">
        <v>0</v>
      </c>
      <c r="L4879">
        <v>135</v>
      </c>
    </row>
    <row r="4880" spans="1:12">
      <c r="A4880" s="183" t="s">
        <v>8733</v>
      </c>
      <c r="B4880" s="183" t="s">
        <v>8692</v>
      </c>
      <c r="C4880">
        <v>8800358460523</v>
      </c>
      <c r="D4880">
        <v>135</v>
      </c>
      <c r="E4880">
        <v>0</v>
      </c>
      <c r="F4880">
        <v>0</v>
      </c>
      <c r="G4880">
        <v>0</v>
      </c>
      <c r="H4880">
        <v>135</v>
      </c>
      <c r="I4880" s="183" t="s">
        <v>8693</v>
      </c>
      <c r="J4880" s="183" t="s">
        <v>12061</v>
      </c>
      <c r="K4880">
        <v>0</v>
      </c>
      <c r="L4880">
        <v>135</v>
      </c>
    </row>
    <row r="4881" spans="1:12">
      <c r="A4881" s="183" t="s">
        <v>8734</v>
      </c>
      <c r="B4881" s="183" t="s">
        <v>8692</v>
      </c>
      <c r="C4881">
        <v>8800358460660</v>
      </c>
      <c r="D4881">
        <v>45</v>
      </c>
      <c r="E4881">
        <v>0</v>
      </c>
      <c r="F4881">
        <v>0</v>
      </c>
      <c r="G4881">
        <v>0</v>
      </c>
      <c r="H4881">
        <v>45</v>
      </c>
      <c r="I4881" s="183" t="s">
        <v>8693</v>
      </c>
      <c r="J4881" s="183" t="s">
        <v>12050</v>
      </c>
      <c r="K4881">
        <v>0</v>
      </c>
      <c r="L4881">
        <v>45</v>
      </c>
    </row>
    <row r="4882" spans="1:12">
      <c r="A4882" s="183" t="s">
        <v>8735</v>
      </c>
      <c r="B4882" s="183" t="s">
        <v>8692</v>
      </c>
      <c r="C4882">
        <v>8800358460684</v>
      </c>
      <c r="D4882">
        <v>45</v>
      </c>
      <c r="E4882">
        <v>0</v>
      </c>
      <c r="F4882">
        <v>0</v>
      </c>
      <c r="G4882">
        <v>0</v>
      </c>
      <c r="H4882">
        <v>45</v>
      </c>
      <c r="I4882" s="183" t="s">
        <v>8693</v>
      </c>
      <c r="J4882" s="183" t="s">
        <v>12048</v>
      </c>
      <c r="K4882">
        <v>0</v>
      </c>
      <c r="L4882">
        <v>45</v>
      </c>
    </row>
    <row r="4883" spans="1:12">
      <c r="A4883" s="183" t="s">
        <v>8736</v>
      </c>
      <c r="B4883" s="183" t="s">
        <v>8698</v>
      </c>
      <c r="C4883">
        <v>8800358460769</v>
      </c>
      <c r="D4883">
        <v>195</v>
      </c>
      <c r="E4883">
        <v>0</v>
      </c>
      <c r="F4883">
        <v>0</v>
      </c>
      <c r="G4883">
        <v>0</v>
      </c>
      <c r="H4883">
        <v>195</v>
      </c>
      <c r="I4883" s="183" t="s">
        <v>8699</v>
      </c>
      <c r="J4883" s="183" t="s">
        <v>12057</v>
      </c>
      <c r="K4883">
        <v>0</v>
      </c>
      <c r="L4883">
        <v>195</v>
      </c>
    </row>
    <row r="4884" spans="1:12">
      <c r="A4884" s="183" t="s">
        <v>5573</v>
      </c>
      <c r="B4884" s="183" t="s">
        <v>5246</v>
      </c>
      <c r="C4884">
        <v>8800322948453</v>
      </c>
      <c r="D4884">
        <v>50</v>
      </c>
      <c r="E4884">
        <v>0</v>
      </c>
      <c r="F4884">
        <v>0</v>
      </c>
      <c r="G4884">
        <v>0</v>
      </c>
      <c r="H4884">
        <v>50</v>
      </c>
      <c r="I4884" s="183" t="s">
        <v>5247</v>
      </c>
      <c r="J4884" s="183" t="s">
        <v>12063</v>
      </c>
      <c r="K4884">
        <v>0</v>
      </c>
      <c r="L4884">
        <v>50</v>
      </c>
    </row>
    <row r="4885" spans="1:12">
      <c r="A4885" s="183" t="s">
        <v>5279</v>
      </c>
      <c r="B4885" s="183" t="s">
        <v>5246</v>
      </c>
      <c r="C4885">
        <v>8800322949726</v>
      </c>
      <c r="D4885">
        <v>50</v>
      </c>
      <c r="E4885">
        <v>0</v>
      </c>
      <c r="F4885">
        <v>0</v>
      </c>
      <c r="G4885">
        <v>0</v>
      </c>
      <c r="H4885">
        <v>50</v>
      </c>
      <c r="I4885" s="183" t="s">
        <v>5247</v>
      </c>
      <c r="J4885" s="183" t="s">
        <v>12085</v>
      </c>
      <c r="K4885">
        <v>0</v>
      </c>
      <c r="L4885">
        <v>50</v>
      </c>
    </row>
    <row r="4886" spans="1:12">
      <c r="A4886" s="183" t="s">
        <v>5280</v>
      </c>
      <c r="B4886" s="183" t="s">
        <v>5246</v>
      </c>
      <c r="C4886">
        <v>8800322947722</v>
      </c>
      <c r="D4886">
        <v>50</v>
      </c>
      <c r="E4886">
        <v>0</v>
      </c>
      <c r="F4886">
        <v>0</v>
      </c>
      <c r="G4886">
        <v>0</v>
      </c>
      <c r="H4886">
        <v>50</v>
      </c>
      <c r="I4886" s="183" t="s">
        <v>5247</v>
      </c>
      <c r="J4886" s="183" t="s">
        <v>12066</v>
      </c>
      <c r="K4886">
        <v>0</v>
      </c>
      <c r="L4886">
        <v>50</v>
      </c>
    </row>
    <row r="4887" spans="1:12">
      <c r="A4887" s="183" t="s">
        <v>5574</v>
      </c>
      <c r="B4887" s="183" t="s">
        <v>5246</v>
      </c>
      <c r="C4887">
        <v>8800322949979</v>
      </c>
      <c r="D4887">
        <v>50</v>
      </c>
      <c r="E4887">
        <v>0</v>
      </c>
      <c r="F4887">
        <v>0</v>
      </c>
      <c r="G4887">
        <v>0</v>
      </c>
      <c r="H4887">
        <v>50</v>
      </c>
      <c r="I4887" s="183" t="s">
        <v>5247</v>
      </c>
      <c r="J4887" s="183" t="s">
        <v>12087</v>
      </c>
      <c r="K4887">
        <v>0</v>
      </c>
      <c r="L4887">
        <v>50</v>
      </c>
    </row>
    <row r="4888" spans="1:12">
      <c r="A4888" s="183" t="s">
        <v>5281</v>
      </c>
      <c r="B4888" s="183" t="s">
        <v>5246</v>
      </c>
      <c r="C4888">
        <v>8800322950739</v>
      </c>
      <c r="D4888">
        <v>529</v>
      </c>
      <c r="E4888">
        <v>0</v>
      </c>
      <c r="F4888">
        <v>0</v>
      </c>
      <c r="G4888">
        <v>0</v>
      </c>
      <c r="H4888">
        <v>529</v>
      </c>
      <c r="I4888" s="183" t="s">
        <v>5247</v>
      </c>
      <c r="J4888" s="183" t="s">
        <v>12063</v>
      </c>
      <c r="K4888">
        <v>0</v>
      </c>
      <c r="L4888">
        <v>529</v>
      </c>
    </row>
    <row r="4889" spans="1:12">
      <c r="A4889" s="183" t="s">
        <v>5797</v>
      </c>
      <c r="B4889" s="183" t="s">
        <v>5246</v>
      </c>
      <c r="C4889">
        <v>8800322948729</v>
      </c>
      <c r="D4889">
        <v>50</v>
      </c>
      <c r="E4889">
        <v>0</v>
      </c>
      <c r="F4889">
        <v>0</v>
      </c>
      <c r="G4889">
        <v>0</v>
      </c>
      <c r="H4889">
        <v>50</v>
      </c>
      <c r="I4889" s="183" t="s">
        <v>5247</v>
      </c>
      <c r="J4889" s="183" t="s">
        <v>12050</v>
      </c>
      <c r="K4889">
        <v>0</v>
      </c>
      <c r="L4889">
        <v>50</v>
      </c>
    </row>
    <row r="4890" spans="1:12">
      <c r="A4890" s="183" t="s">
        <v>5282</v>
      </c>
      <c r="B4890" s="183" t="s">
        <v>5246</v>
      </c>
      <c r="C4890">
        <v>8800322949733</v>
      </c>
      <c r="D4890">
        <v>50</v>
      </c>
      <c r="E4890">
        <v>0</v>
      </c>
      <c r="F4890">
        <v>0</v>
      </c>
      <c r="G4890">
        <v>0</v>
      </c>
      <c r="H4890">
        <v>50</v>
      </c>
      <c r="I4890" s="183" t="s">
        <v>5247</v>
      </c>
      <c r="J4890" s="183" t="s">
        <v>12063</v>
      </c>
      <c r="K4890">
        <v>0</v>
      </c>
      <c r="L4890">
        <v>50</v>
      </c>
    </row>
    <row r="4891" spans="1:12">
      <c r="A4891" s="183" t="s">
        <v>5575</v>
      </c>
      <c r="B4891" s="183" t="s">
        <v>5246</v>
      </c>
      <c r="C4891">
        <v>8800322949986</v>
      </c>
      <c r="D4891">
        <v>50</v>
      </c>
      <c r="E4891">
        <v>0</v>
      </c>
      <c r="F4891">
        <v>0</v>
      </c>
      <c r="G4891">
        <v>0</v>
      </c>
      <c r="H4891">
        <v>50</v>
      </c>
      <c r="I4891" s="183" t="s">
        <v>5247</v>
      </c>
      <c r="J4891" s="183" t="s">
        <v>12050</v>
      </c>
      <c r="K4891">
        <v>0</v>
      </c>
      <c r="L4891">
        <v>50</v>
      </c>
    </row>
    <row r="4892" spans="1:12">
      <c r="A4892" s="183" t="s">
        <v>5798</v>
      </c>
      <c r="B4892" s="183" t="s">
        <v>5246</v>
      </c>
      <c r="C4892">
        <v>8800322949481</v>
      </c>
      <c r="D4892">
        <v>50</v>
      </c>
      <c r="E4892">
        <v>0</v>
      </c>
      <c r="F4892">
        <v>0</v>
      </c>
      <c r="G4892">
        <v>0</v>
      </c>
      <c r="H4892">
        <v>50</v>
      </c>
      <c r="I4892" s="183" t="s">
        <v>5247</v>
      </c>
      <c r="J4892" s="183" t="s">
        <v>12063</v>
      </c>
      <c r="K4892">
        <v>0</v>
      </c>
      <c r="L4892">
        <v>50</v>
      </c>
    </row>
    <row r="4893" spans="1:12">
      <c r="A4893" s="183" t="s">
        <v>5283</v>
      </c>
      <c r="B4893" s="183" t="s">
        <v>5251</v>
      </c>
      <c r="C4893">
        <v>8800322946992</v>
      </c>
      <c r="D4893">
        <v>50</v>
      </c>
      <c r="E4893">
        <v>0</v>
      </c>
      <c r="F4893">
        <v>0</v>
      </c>
      <c r="G4893">
        <v>0</v>
      </c>
      <c r="H4893">
        <v>50</v>
      </c>
      <c r="I4893" s="183" t="s">
        <v>5247</v>
      </c>
      <c r="J4893" s="183" t="s">
        <v>12050</v>
      </c>
      <c r="K4893">
        <v>0</v>
      </c>
      <c r="L4893">
        <v>50</v>
      </c>
    </row>
    <row r="4894" spans="1:12">
      <c r="A4894" s="183" t="s">
        <v>5284</v>
      </c>
      <c r="B4894" s="183" t="s">
        <v>5251</v>
      </c>
      <c r="C4894">
        <v>8800322948491</v>
      </c>
      <c r="D4894">
        <v>50</v>
      </c>
      <c r="E4894">
        <v>0</v>
      </c>
      <c r="F4894">
        <v>0</v>
      </c>
      <c r="G4894">
        <v>0</v>
      </c>
      <c r="H4894">
        <v>50</v>
      </c>
      <c r="I4894" s="183" t="s">
        <v>5247</v>
      </c>
      <c r="J4894" s="183" t="s">
        <v>12085</v>
      </c>
      <c r="K4894">
        <v>0</v>
      </c>
      <c r="L4894">
        <v>50</v>
      </c>
    </row>
    <row r="4895" spans="1:12">
      <c r="A4895" s="183" t="s">
        <v>5576</v>
      </c>
      <c r="B4895" s="183" t="s">
        <v>5251</v>
      </c>
      <c r="C4895">
        <v>8800322948255</v>
      </c>
      <c r="D4895">
        <v>50</v>
      </c>
      <c r="E4895">
        <v>0</v>
      </c>
      <c r="F4895">
        <v>0</v>
      </c>
      <c r="G4895">
        <v>0</v>
      </c>
      <c r="H4895">
        <v>50</v>
      </c>
      <c r="I4895" s="183" t="s">
        <v>5247</v>
      </c>
      <c r="J4895" s="183" t="s">
        <v>12094</v>
      </c>
      <c r="K4895">
        <v>0</v>
      </c>
      <c r="L4895">
        <v>50</v>
      </c>
    </row>
    <row r="4896" spans="1:12">
      <c r="A4896" s="183" t="s">
        <v>5799</v>
      </c>
      <c r="B4896" s="183" t="s">
        <v>5251</v>
      </c>
      <c r="C4896">
        <v>8800322949252</v>
      </c>
      <c r="D4896">
        <v>50</v>
      </c>
      <c r="E4896">
        <v>0</v>
      </c>
      <c r="F4896">
        <v>0</v>
      </c>
      <c r="G4896">
        <v>0</v>
      </c>
      <c r="H4896">
        <v>50</v>
      </c>
      <c r="I4896" s="183" t="s">
        <v>5247</v>
      </c>
      <c r="J4896" s="183" t="s">
        <v>12063</v>
      </c>
      <c r="K4896">
        <v>0</v>
      </c>
      <c r="L4896">
        <v>50</v>
      </c>
    </row>
    <row r="4897" spans="1:12">
      <c r="A4897" s="183" t="s">
        <v>5285</v>
      </c>
      <c r="B4897" s="183" t="s">
        <v>5251</v>
      </c>
      <c r="C4897">
        <v>8800322949016</v>
      </c>
      <c r="D4897">
        <v>50</v>
      </c>
      <c r="E4897">
        <v>0</v>
      </c>
      <c r="F4897">
        <v>0</v>
      </c>
      <c r="G4897">
        <v>0</v>
      </c>
      <c r="H4897">
        <v>50</v>
      </c>
      <c r="I4897" s="183" t="s">
        <v>5247</v>
      </c>
      <c r="J4897" s="183" t="s">
        <v>12087</v>
      </c>
      <c r="K4897">
        <v>0</v>
      </c>
      <c r="L4897">
        <v>50</v>
      </c>
    </row>
    <row r="4898" spans="1:12">
      <c r="A4898" s="183" t="s">
        <v>5286</v>
      </c>
      <c r="B4898" s="183" t="s">
        <v>5251</v>
      </c>
      <c r="C4898">
        <v>8800322946770</v>
      </c>
      <c r="D4898">
        <v>50</v>
      </c>
      <c r="E4898">
        <v>0</v>
      </c>
      <c r="F4898">
        <v>0</v>
      </c>
      <c r="G4898">
        <v>0</v>
      </c>
      <c r="H4898">
        <v>50</v>
      </c>
      <c r="I4898" s="183" t="s">
        <v>5247</v>
      </c>
      <c r="J4898" s="183" t="s">
        <v>12048</v>
      </c>
      <c r="K4898">
        <v>0</v>
      </c>
      <c r="L4898">
        <v>50</v>
      </c>
    </row>
    <row r="4899" spans="1:12">
      <c r="A4899" s="183" t="s">
        <v>5577</v>
      </c>
      <c r="B4899" s="183" t="s">
        <v>5251</v>
      </c>
      <c r="C4899">
        <v>8800322948026</v>
      </c>
      <c r="D4899">
        <v>50</v>
      </c>
      <c r="E4899">
        <v>0</v>
      </c>
      <c r="F4899">
        <v>0</v>
      </c>
      <c r="G4899">
        <v>0</v>
      </c>
      <c r="H4899">
        <v>50</v>
      </c>
      <c r="I4899" s="183" t="s">
        <v>5247</v>
      </c>
      <c r="J4899" s="183" t="s">
        <v>12085</v>
      </c>
      <c r="K4899">
        <v>0</v>
      </c>
      <c r="L4899">
        <v>50</v>
      </c>
    </row>
    <row r="4900" spans="1:12">
      <c r="A4900" s="183" t="s">
        <v>5287</v>
      </c>
      <c r="B4900" s="183" t="s">
        <v>5256</v>
      </c>
      <c r="C4900">
        <v>8800322946787</v>
      </c>
      <c r="D4900">
        <v>50</v>
      </c>
      <c r="E4900">
        <v>0</v>
      </c>
      <c r="F4900">
        <v>0</v>
      </c>
      <c r="G4900">
        <v>0</v>
      </c>
      <c r="H4900">
        <v>50</v>
      </c>
      <c r="I4900" s="183" t="s">
        <v>5247</v>
      </c>
      <c r="J4900" s="183" t="s">
        <v>12055</v>
      </c>
      <c r="K4900">
        <v>0</v>
      </c>
      <c r="L4900">
        <v>50</v>
      </c>
    </row>
    <row r="4901" spans="1:12">
      <c r="A4901" s="183" t="s">
        <v>5288</v>
      </c>
      <c r="B4901" s="183" t="s">
        <v>5256</v>
      </c>
      <c r="C4901">
        <v>8800322948538</v>
      </c>
      <c r="D4901">
        <v>50</v>
      </c>
      <c r="E4901">
        <v>0</v>
      </c>
      <c r="F4901">
        <v>0</v>
      </c>
      <c r="G4901">
        <v>0</v>
      </c>
      <c r="H4901">
        <v>50</v>
      </c>
      <c r="I4901" s="183" t="s">
        <v>5247</v>
      </c>
      <c r="J4901" s="183" t="s">
        <v>12066</v>
      </c>
      <c r="K4901">
        <v>0</v>
      </c>
      <c r="L4901">
        <v>50</v>
      </c>
    </row>
    <row r="4902" spans="1:12">
      <c r="A4902" s="183" t="s">
        <v>5289</v>
      </c>
      <c r="B4902" s="183" t="s">
        <v>5256</v>
      </c>
      <c r="C4902">
        <v>8800322950791</v>
      </c>
      <c r="D4902">
        <v>476</v>
      </c>
      <c r="E4902">
        <v>0</v>
      </c>
      <c r="F4902">
        <v>0</v>
      </c>
      <c r="G4902">
        <v>0</v>
      </c>
      <c r="H4902">
        <v>476</v>
      </c>
      <c r="I4902" s="183" t="s">
        <v>5247</v>
      </c>
      <c r="J4902" s="183" t="s">
        <v>12095</v>
      </c>
      <c r="K4902">
        <v>0</v>
      </c>
      <c r="L4902">
        <v>476</v>
      </c>
    </row>
    <row r="4903" spans="1:12">
      <c r="A4903" s="183" t="s">
        <v>5521</v>
      </c>
      <c r="B4903" s="183" t="s">
        <v>5256</v>
      </c>
      <c r="C4903">
        <v>8800322951040</v>
      </c>
      <c r="D4903">
        <v>492</v>
      </c>
      <c r="E4903">
        <v>0</v>
      </c>
      <c r="F4903">
        <v>0</v>
      </c>
      <c r="G4903">
        <v>0</v>
      </c>
      <c r="H4903">
        <v>492</v>
      </c>
      <c r="I4903" s="183" t="s">
        <v>5247</v>
      </c>
      <c r="J4903" s="183" t="s">
        <v>12055</v>
      </c>
      <c r="K4903">
        <v>0</v>
      </c>
      <c r="L4903">
        <v>492</v>
      </c>
    </row>
    <row r="4904" spans="1:12">
      <c r="A4904" s="183" t="s">
        <v>5290</v>
      </c>
      <c r="B4904" s="183" t="s">
        <v>5256</v>
      </c>
      <c r="C4904">
        <v>8800322949047</v>
      </c>
      <c r="D4904">
        <v>50</v>
      </c>
      <c r="E4904">
        <v>0</v>
      </c>
      <c r="F4904">
        <v>0</v>
      </c>
      <c r="G4904">
        <v>0</v>
      </c>
      <c r="H4904">
        <v>50</v>
      </c>
      <c r="I4904" s="183" t="s">
        <v>5247</v>
      </c>
      <c r="J4904" s="183" t="s">
        <v>12087</v>
      </c>
      <c r="K4904">
        <v>0</v>
      </c>
      <c r="L4904">
        <v>50</v>
      </c>
    </row>
    <row r="4905" spans="1:12">
      <c r="A4905" s="183" t="s">
        <v>5578</v>
      </c>
      <c r="B4905" s="183" t="s">
        <v>5256</v>
      </c>
      <c r="C4905">
        <v>8800322950050</v>
      </c>
      <c r="D4905">
        <v>50</v>
      </c>
      <c r="E4905">
        <v>0</v>
      </c>
      <c r="F4905">
        <v>0</v>
      </c>
      <c r="G4905">
        <v>0</v>
      </c>
      <c r="H4905">
        <v>50</v>
      </c>
      <c r="I4905" s="183" t="s">
        <v>5247</v>
      </c>
      <c r="J4905" s="183" t="s">
        <v>12063</v>
      </c>
      <c r="K4905">
        <v>0</v>
      </c>
      <c r="L4905">
        <v>50</v>
      </c>
    </row>
    <row r="4906" spans="1:12">
      <c r="A4906" s="183" t="s">
        <v>5291</v>
      </c>
      <c r="B4906" s="183" t="s">
        <v>5256</v>
      </c>
      <c r="C4906">
        <v>8800322946800</v>
      </c>
      <c r="D4906">
        <v>50</v>
      </c>
      <c r="E4906">
        <v>0</v>
      </c>
      <c r="F4906">
        <v>0</v>
      </c>
      <c r="G4906">
        <v>0</v>
      </c>
      <c r="H4906">
        <v>50</v>
      </c>
      <c r="I4906" s="183" t="s">
        <v>5247</v>
      </c>
      <c r="J4906" s="183" t="s">
        <v>12095</v>
      </c>
      <c r="K4906">
        <v>0</v>
      </c>
      <c r="L4906">
        <v>50</v>
      </c>
    </row>
    <row r="4907" spans="1:12">
      <c r="A4907" s="183" t="s">
        <v>5579</v>
      </c>
      <c r="B4907" s="183" t="s">
        <v>5256</v>
      </c>
      <c r="C4907">
        <v>8800322949306</v>
      </c>
      <c r="D4907">
        <v>50</v>
      </c>
      <c r="E4907">
        <v>0</v>
      </c>
      <c r="F4907">
        <v>0</v>
      </c>
      <c r="G4907">
        <v>0</v>
      </c>
      <c r="H4907">
        <v>50</v>
      </c>
      <c r="I4907" s="183" t="s">
        <v>5247</v>
      </c>
      <c r="J4907" s="183" t="s">
        <v>12048</v>
      </c>
      <c r="K4907">
        <v>0</v>
      </c>
      <c r="L4907">
        <v>50</v>
      </c>
    </row>
    <row r="4908" spans="1:12">
      <c r="A4908" s="183" t="s">
        <v>5580</v>
      </c>
      <c r="B4908" s="183" t="s">
        <v>5256</v>
      </c>
      <c r="C4908">
        <v>8800322947302</v>
      </c>
      <c r="D4908">
        <v>50</v>
      </c>
      <c r="E4908">
        <v>0</v>
      </c>
      <c r="F4908">
        <v>0</v>
      </c>
      <c r="G4908">
        <v>0</v>
      </c>
      <c r="H4908">
        <v>50</v>
      </c>
      <c r="I4908" s="183" t="s">
        <v>5247</v>
      </c>
      <c r="J4908" s="183" t="s">
        <v>12048</v>
      </c>
      <c r="K4908">
        <v>0</v>
      </c>
      <c r="L4908">
        <v>50</v>
      </c>
    </row>
    <row r="4909" spans="1:12">
      <c r="A4909" s="183" t="s">
        <v>5581</v>
      </c>
      <c r="B4909" s="183" t="s">
        <v>5256</v>
      </c>
      <c r="C4909">
        <v>8800322950319</v>
      </c>
      <c r="D4909">
        <v>50</v>
      </c>
      <c r="E4909">
        <v>0</v>
      </c>
      <c r="F4909">
        <v>0</v>
      </c>
      <c r="G4909">
        <v>0</v>
      </c>
      <c r="H4909">
        <v>50</v>
      </c>
      <c r="I4909" s="183" t="s">
        <v>5247</v>
      </c>
      <c r="J4909" s="183" t="s">
        <v>12063</v>
      </c>
      <c r="K4909">
        <v>0</v>
      </c>
      <c r="L4909">
        <v>50</v>
      </c>
    </row>
    <row r="4910" spans="1:12">
      <c r="A4910" s="183" t="s">
        <v>5292</v>
      </c>
      <c r="B4910" s="183" t="s">
        <v>5256</v>
      </c>
      <c r="C4910">
        <v>8800322947067</v>
      </c>
      <c r="D4910">
        <v>50</v>
      </c>
      <c r="E4910">
        <v>0</v>
      </c>
      <c r="F4910">
        <v>0</v>
      </c>
      <c r="G4910">
        <v>0</v>
      </c>
      <c r="H4910">
        <v>50</v>
      </c>
      <c r="I4910" s="183" t="s">
        <v>5247</v>
      </c>
      <c r="J4910" s="183" t="s">
        <v>12095</v>
      </c>
      <c r="K4910">
        <v>0</v>
      </c>
      <c r="L4910">
        <v>50</v>
      </c>
    </row>
    <row r="4911" spans="1:12">
      <c r="A4911" s="183" t="s">
        <v>5582</v>
      </c>
      <c r="B4911" s="183" t="s">
        <v>5256</v>
      </c>
      <c r="C4911">
        <v>8800322949566</v>
      </c>
      <c r="D4911">
        <v>50</v>
      </c>
      <c r="E4911">
        <v>0</v>
      </c>
      <c r="F4911">
        <v>0</v>
      </c>
      <c r="G4911">
        <v>0</v>
      </c>
      <c r="H4911">
        <v>50</v>
      </c>
      <c r="I4911" s="183" t="s">
        <v>5247</v>
      </c>
      <c r="J4911" s="183" t="s">
        <v>12048</v>
      </c>
      <c r="K4911">
        <v>0</v>
      </c>
      <c r="L4911">
        <v>50</v>
      </c>
    </row>
    <row r="4912" spans="1:12">
      <c r="A4912" s="183" t="s">
        <v>5583</v>
      </c>
      <c r="B4912" s="183" t="s">
        <v>5267</v>
      </c>
      <c r="C4912">
        <v>8800322948323</v>
      </c>
      <c r="D4912">
        <v>49</v>
      </c>
      <c r="E4912">
        <v>0</v>
      </c>
      <c r="F4912">
        <v>0</v>
      </c>
      <c r="G4912">
        <v>0</v>
      </c>
      <c r="H4912">
        <v>49</v>
      </c>
      <c r="I4912" s="183" t="s">
        <v>5247</v>
      </c>
      <c r="J4912" s="183" t="s">
        <v>12050</v>
      </c>
      <c r="K4912">
        <v>0</v>
      </c>
      <c r="L4912">
        <v>49</v>
      </c>
    </row>
    <row r="4913" spans="1:12">
      <c r="A4913" s="183" t="s">
        <v>5804</v>
      </c>
      <c r="B4913" s="183" t="s">
        <v>5267</v>
      </c>
      <c r="C4913">
        <v>8800322948828</v>
      </c>
      <c r="D4913">
        <v>50</v>
      </c>
      <c r="E4913">
        <v>0</v>
      </c>
      <c r="F4913">
        <v>0</v>
      </c>
      <c r="G4913">
        <v>0</v>
      </c>
      <c r="H4913">
        <v>50</v>
      </c>
      <c r="I4913" s="183" t="s">
        <v>5247</v>
      </c>
      <c r="J4913" s="183" t="s">
        <v>12094</v>
      </c>
      <c r="K4913">
        <v>0</v>
      </c>
      <c r="L4913">
        <v>50</v>
      </c>
    </row>
    <row r="4914" spans="1:12">
      <c r="A4914" s="183" t="s">
        <v>5584</v>
      </c>
      <c r="B4914" s="183" t="s">
        <v>5267</v>
      </c>
      <c r="C4914">
        <v>8800322947838</v>
      </c>
      <c r="D4914">
        <v>50</v>
      </c>
      <c r="E4914">
        <v>0</v>
      </c>
      <c r="F4914">
        <v>0</v>
      </c>
      <c r="G4914">
        <v>0</v>
      </c>
      <c r="H4914">
        <v>50</v>
      </c>
      <c r="I4914" s="183" t="s">
        <v>5247</v>
      </c>
      <c r="J4914" s="183" t="s">
        <v>12085</v>
      </c>
      <c r="K4914">
        <v>0</v>
      </c>
      <c r="L4914">
        <v>50</v>
      </c>
    </row>
    <row r="4915" spans="1:12">
      <c r="A4915" s="183" t="s">
        <v>5293</v>
      </c>
      <c r="B4915" s="183" t="s">
        <v>5267</v>
      </c>
      <c r="C4915">
        <v>8800322947098</v>
      </c>
      <c r="D4915">
        <v>50</v>
      </c>
      <c r="E4915">
        <v>0</v>
      </c>
      <c r="F4915">
        <v>0</v>
      </c>
      <c r="G4915">
        <v>0</v>
      </c>
      <c r="H4915">
        <v>50</v>
      </c>
      <c r="I4915" s="183" t="s">
        <v>5247</v>
      </c>
      <c r="J4915" s="183" t="s">
        <v>12055</v>
      </c>
      <c r="K4915">
        <v>0</v>
      </c>
      <c r="L4915">
        <v>50</v>
      </c>
    </row>
    <row r="4916" spans="1:12">
      <c r="A4916" s="183" t="s">
        <v>5294</v>
      </c>
      <c r="B4916" s="183" t="s">
        <v>5267</v>
      </c>
      <c r="C4916">
        <v>8800322949108</v>
      </c>
      <c r="D4916">
        <v>50</v>
      </c>
      <c r="E4916">
        <v>0</v>
      </c>
      <c r="F4916">
        <v>0</v>
      </c>
      <c r="G4916">
        <v>0</v>
      </c>
      <c r="H4916">
        <v>50</v>
      </c>
      <c r="I4916" s="183" t="s">
        <v>5247</v>
      </c>
      <c r="J4916" s="183" t="s">
        <v>12066</v>
      </c>
      <c r="K4916">
        <v>0</v>
      </c>
      <c r="L4916">
        <v>50</v>
      </c>
    </row>
    <row r="4917" spans="1:12">
      <c r="A4917" s="183" t="s">
        <v>5295</v>
      </c>
      <c r="B4917" s="183" t="s">
        <v>5296</v>
      </c>
      <c r="C4917">
        <v>8800322949863</v>
      </c>
      <c r="D4917">
        <v>50</v>
      </c>
      <c r="E4917">
        <v>0</v>
      </c>
      <c r="F4917">
        <v>0</v>
      </c>
      <c r="G4917">
        <v>0</v>
      </c>
      <c r="H4917">
        <v>50</v>
      </c>
      <c r="I4917" s="183" t="s">
        <v>5247</v>
      </c>
      <c r="J4917" s="183" t="s">
        <v>12063</v>
      </c>
      <c r="K4917">
        <v>0</v>
      </c>
      <c r="L4917">
        <v>50</v>
      </c>
    </row>
    <row r="4918" spans="1:12">
      <c r="A4918" s="183" t="s">
        <v>5602</v>
      </c>
      <c r="B4918" s="183" t="s">
        <v>5296</v>
      </c>
      <c r="C4918">
        <v>8800322950128</v>
      </c>
      <c r="D4918">
        <v>49</v>
      </c>
      <c r="E4918">
        <v>0</v>
      </c>
      <c r="F4918">
        <v>0</v>
      </c>
      <c r="G4918">
        <v>0</v>
      </c>
      <c r="H4918">
        <v>49</v>
      </c>
      <c r="I4918" s="183" t="s">
        <v>5247</v>
      </c>
      <c r="J4918" s="183" t="s">
        <v>12094</v>
      </c>
      <c r="K4918">
        <v>0</v>
      </c>
      <c r="L4918">
        <v>49</v>
      </c>
    </row>
    <row r="4919" spans="1:12">
      <c r="A4919" s="183" t="s">
        <v>5805</v>
      </c>
      <c r="B4919" s="183" t="s">
        <v>5296</v>
      </c>
      <c r="C4919">
        <v>8800322949627</v>
      </c>
      <c r="D4919">
        <v>50</v>
      </c>
      <c r="E4919">
        <v>0</v>
      </c>
      <c r="F4919">
        <v>0</v>
      </c>
      <c r="G4919">
        <v>0</v>
      </c>
      <c r="H4919">
        <v>50</v>
      </c>
      <c r="I4919" s="183" t="s">
        <v>5247</v>
      </c>
      <c r="J4919" s="183" t="s">
        <v>12095</v>
      </c>
      <c r="K4919">
        <v>0</v>
      </c>
      <c r="L4919">
        <v>50</v>
      </c>
    </row>
    <row r="4920" spans="1:12">
      <c r="A4920" s="183" t="s">
        <v>5297</v>
      </c>
      <c r="B4920" s="183" t="s">
        <v>5274</v>
      </c>
      <c r="C4920">
        <v>8800322947630</v>
      </c>
      <c r="D4920">
        <v>50</v>
      </c>
      <c r="E4920">
        <v>0</v>
      </c>
      <c r="F4920">
        <v>0</v>
      </c>
      <c r="G4920">
        <v>0</v>
      </c>
      <c r="H4920">
        <v>50</v>
      </c>
      <c r="I4920" s="183" t="s">
        <v>5247</v>
      </c>
      <c r="J4920" s="183" t="s">
        <v>12085</v>
      </c>
      <c r="K4920">
        <v>0</v>
      </c>
      <c r="L4920">
        <v>50</v>
      </c>
    </row>
    <row r="4921" spans="1:12">
      <c r="A4921" s="183" t="s">
        <v>5298</v>
      </c>
      <c r="B4921" s="183" t="s">
        <v>5274</v>
      </c>
      <c r="C4921">
        <v>8800322947135</v>
      </c>
      <c r="D4921">
        <v>50</v>
      </c>
      <c r="E4921">
        <v>0</v>
      </c>
      <c r="F4921">
        <v>0</v>
      </c>
      <c r="G4921">
        <v>0</v>
      </c>
      <c r="H4921">
        <v>50</v>
      </c>
      <c r="I4921" s="183" t="s">
        <v>5247</v>
      </c>
      <c r="J4921" s="183" t="s">
        <v>12057</v>
      </c>
      <c r="K4921">
        <v>0</v>
      </c>
      <c r="L4921">
        <v>50</v>
      </c>
    </row>
    <row r="4922" spans="1:12">
      <c r="A4922" s="183" t="s">
        <v>5603</v>
      </c>
      <c r="B4922" s="183" t="s">
        <v>5274</v>
      </c>
      <c r="C4922">
        <v>8800322948637</v>
      </c>
      <c r="D4922">
        <v>50</v>
      </c>
      <c r="E4922">
        <v>0</v>
      </c>
      <c r="F4922">
        <v>0</v>
      </c>
      <c r="G4922">
        <v>0</v>
      </c>
      <c r="H4922">
        <v>50</v>
      </c>
      <c r="I4922" s="183" t="s">
        <v>5247</v>
      </c>
      <c r="J4922" s="183" t="s">
        <v>12055</v>
      </c>
      <c r="K4922">
        <v>0</v>
      </c>
      <c r="L4922">
        <v>50</v>
      </c>
    </row>
    <row r="4923" spans="1:12">
      <c r="A4923" s="183" t="s">
        <v>5299</v>
      </c>
      <c r="B4923" s="183" t="s">
        <v>5274</v>
      </c>
      <c r="C4923">
        <v>8800322951149</v>
      </c>
      <c r="D4923">
        <v>499</v>
      </c>
      <c r="E4923">
        <v>0</v>
      </c>
      <c r="F4923">
        <v>0</v>
      </c>
      <c r="G4923">
        <v>0</v>
      </c>
      <c r="H4923">
        <v>499</v>
      </c>
      <c r="I4923" s="183" t="s">
        <v>5247</v>
      </c>
      <c r="J4923" s="183" t="s">
        <v>12066</v>
      </c>
      <c r="K4923">
        <v>0</v>
      </c>
      <c r="L4923">
        <v>499</v>
      </c>
    </row>
    <row r="4924" spans="1:12">
      <c r="A4924" s="183" t="s">
        <v>5300</v>
      </c>
      <c r="B4924" s="183" t="s">
        <v>5274</v>
      </c>
      <c r="C4924">
        <v>8800322947647</v>
      </c>
      <c r="D4924">
        <v>50</v>
      </c>
      <c r="E4924">
        <v>0</v>
      </c>
      <c r="F4924">
        <v>0</v>
      </c>
      <c r="G4924">
        <v>0</v>
      </c>
      <c r="H4924">
        <v>50</v>
      </c>
      <c r="I4924" s="183" t="s">
        <v>5247</v>
      </c>
      <c r="J4924" s="183" t="s">
        <v>12048</v>
      </c>
      <c r="K4924">
        <v>0</v>
      </c>
      <c r="L4924">
        <v>50</v>
      </c>
    </row>
    <row r="4925" spans="1:12">
      <c r="A4925" s="183" t="s">
        <v>5301</v>
      </c>
      <c r="B4925" s="183" t="s">
        <v>5302</v>
      </c>
      <c r="C4925">
        <v>8800322946909</v>
      </c>
      <c r="D4925">
        <v>50</v>
      </c>
      <c r="E4925">
        <v>0</v>
      </c>
      <c r="F4925">
        <v>0</v>
      </c>
      <c r="G4925">
        <v>0</v>
      </c>
      <c r="H4925">
        <v>50</v>
      </c>
      <c r="I4925" s="183" t="s">
        <v>5247</v>
      </c>
      <c r="J4925" s="183" t="s">
        <v>12061</v>
      </c>
      <c r="K4925">
        <v>0</v>
      </c>
      <c r="L4925">
        <v>50</v>
      </c>
    </row>
    <row r="4926" spans="1:12">
      <c r="A4926" s="183" t="s">
        <v>5303</v>
      </c>
      <c r="B4926" s="183" t="s">
        <v>5302</v>
      </c>
      <c r="C4926">
        <v>8800322951163</v>
      </c>
      <c r="D4926">
        <v>544</v>
      </c>
      <c r="E4926">
        <v>0</v>
      </c>
      <c r="F4926">
        <v>0</v>
      </c>
      <c r="G4926">
        <v>0</v>
      </c>
      <c r="H4926">
        <v>544</v>
      </c>
      <c r="I4926" s="183" t="s">
        <v>5247</v>
      </c>
      <c r="J4926" s="183" t="s">
        <v>12063</v>
      </c>
      <c r="K4926">
        <v>0</v>
      </c>
      <c r="L4926">
        <v>544</v>
      </c>
    </row>
    <row r="4927" spans="1:12">
      <c r="A4927" s="183" t="s">
        <v>5304</v>
      </c>
      <c r="B4927" s="183" t="s">
        <v>5302</v>
      </c>
      <c r="C4927">
        <v>8800322950678</v>
      </c>
      <c r="D4927">
        <v>545</v>
      </c>
      <c r="E4927">
        <v>0</v>
      </c>
      <c r="F4927">
        <v>0</v>
      </c>
      <c r="G4927">
        <v>0</v>
      </c>
      <c r="H4927">
        <v>545</v>
      </c>
      <c r="I4927" s="183" t="s">
        <v>5247</v>
      </c>
      <c r="J4927" s="183" t="s">
        <v>12050</v>
      </c>
      <c r="K4927">
        <v>0</v>
      </c>
      <c r="L4927">
        <v>545</v>
      </c>
    </row>
    <row r="4928" spans="1:12">
      <c r="A4928" s="183" t="s">
        <v>5305</v>
      </c>
      <c r="B4928" s="183" t="s">
        <v>5277</v>
      </c>
      <c r="C4928">
        <v>8800322947173</v>
      </c>
      <c r="D4928">
        <v>50</v>
      </c>
      <c r="E4928">
        <v>0</v>
      </c>
      <c r="F4928">
        <v>0</v>
      </c>
      <c r="G4928">
        <v>0</v>
      </c>
      <c r="H4928">
        <v>50</v>
      </c>
      <c r="I4928" s="183" t="s">
        <v>5247</v>
      </c>
      <c r="J4928" s="183" t="s">
        <v>12061</v>
      </c>
      <c r="K4928">
        <v>0</v>
      </c>
      <c r="L4928">
        <v>50</v>
      </c>
    </row>
    <row r="4929" spans="1:12">
      <c r="A4929" s="183" t="s">
        <v>5306</v>
      </c>
      <c r="B4929" s="183" t="s">
        <v>5277</v>
      </c>
      <c r="C4929">
        <v>8800322947937</v>
      </c>
      <c r="D4929">
        <v>50</v>
      </c>
      <c r="E4929">
        <v>0</v>
      </c>
      <c r="F4929">
        <v>0</v>
      </c>
      <c r="G4929">
        <v>0</v>
      </c>
      <c r="H4929">
        <v>50</v>
      </c>
      <c r="I4929" s="183" t="s">
        <v>5247</v>
      </c>
      <c r="J4929" s="183" t="s">
        <v>12063</v>
      </c>
      <c r="K4929">
        <v>0</v>
      </c>
      <c r="L4929">
        <v>50</v>
      </c>
    </row>
    <row r="4930" spans="1:12">
      <c r="A4930" s="183" t="s">
        <v>5604</v>
      </c>
      <c r="B4930" s="183" t="s">
        <v>5277</v>
      </c>
      <c r="C4930">
        <v>8800322949436</v>
      </c>
      <c r="D4930">
        <v>45</v>
      </c>
      <c r="E4930">
        <v>0</v>
      </c>
      <c r="F4930">
        <v>0</v>
      </c>
      <c r="G4930">
        <v>0</v>
      </c>
      <c r="H4930">
        <v>45</v>
      </c>
      <c r="I4930" s="183" t="s">
        <v>5247</v>
      </c>
      <c r="J4930" s="183" t="s">
        <v>12094</v>
      </c>
      <c r="K4930">
        <v>0</v>
      </c>
      <c r="L4930">
        <v>45</v>
      </c>
    </row>
    <row r="4931" spans="1:12">
      <c r="A4931" s="183" t="s">
        <v>5307</v>
      </c>
      <c r="B4931" s="183" t="s">
        <v>5308</v>
      </c>
      <c r="C4931">
        <v>8800322950708</v>
      </c>
      <c r="D4931">
        <v>552</v>
      </c>
      <c r="E4931">
        <v>0</v>
      </c>
      <c r="F4931">
        <v>0</v>
      </c>
      <c r="G4931">
        <v>0</v>
      </c>
      <c r="H4931">
        <v>552</v>
      </c>
      <c r="I4931" s="183" t="s">
        <v>5247</v>
      </c>
      <c r="J4931" s="183" t="s">
        <v>12063</v>
      </c>
      <c r="K4931">
        <v>0</v>
      </c>
      <c r="L4931">
        <v>552</v>
      </c>
    </row>
    <row r="4932" spans="1:12">
      <c r="A4932" s="183" t="s">
        <v>5605</v>
      </c>
      <c r="B4932" s="183" t="s">
        <v>5308</v>
      </c>
      <c r="C4932">
        <v>8800322948194</v>
      </c>
      <c r="D4932">
        <v>50</v>
      </c>
      <c r="E4932">
        <v>0</v>
      </c>
      <c r="F4932">
        <v>0</v>
      </c>
      <c r="G4932">
        <v>0</v>
      </c>
      <c r="H4932">
        <v>50</v>
      </c>
      <c r="I4932" s="183" t="s">
        <v>5247</v>
      </c>
      <c r="J4932" s="183" t="s">
        <v>12055</v>
      </c>
      <c r="K4932">
        <v>0</v>
      </c>
      <c r="L4932">
        <v>50</v>
      </c>
    </row>
    <row r="4933" spans="1:12">
      <c r="A4933" s="183" t="s">
        <v>5309</v>
      </c>
      <c r="B4933" s="183" t="s">
        <v>5308</v>
      </c>
      <c r="C4933">
        <v>8800322951200</v>
      </c>
      <c r="D4933">
        <v>550</v>
      </c>
      <c r="E4933">
        <v>0</v>
      </c>
      <c r="F4933">
        <v>0</v>
      </c>
      <c r="G4933">
        <v>0</v>
      </c>
      <c r="H4933">
        <v>550</v>
      </c>
      <c r="I4933" s="183" t="s">
        <v>5247</v>
      </c>
      <c r="J4933" s="183" t="s">
        <v>12048</v>
      </c>
      <c r="K4933">
        <v>0</v>
      </c>
      <c r="L4933">
        <v>550</v>
      </c>
    </row>
    <row r="4934" spans="1:12">
      <c r="A4934" s="183" t="s">
        <v>861</v>
      </c>
      <c r="B4934" s="183" t="s">
        <v>1039</v>
      </c>
      <c r="C4934">
        <v>8809867716374</v>
      </c>
      <c r="D4934" s="501">
        <v>1147</v>
      </c>
      <c r="E4934">
        <v>0</v>
      </c>
      <c r="F4934">
        <v>0</v>
      </c>
      <c r="G4934">
        <v>0</v>
      </c>
      <c r="H4934" s="501">
        <v>1147</v>
      </c>
      <c r="I4934" s="183" t="s">
        <v>1040</v>
      </c>
      <c r="J4934" s="183" t="s">
        <v>12053</v>
      </c>
      <c r="K4934">
        <v>0</v>
      </c>
      <c r="L4934" s="501">
        <v>1147</v>
      </c>
    </row>
    <row r="4935" spans="1:12">
      <c r="A4935" s="183" t="s">
        <v>862</v>
      </c>
      <c r="B4935" s="183" t="s">
        <v>1039</v>
      </c>
      <c r="C4935">
        <v>8809867716435</v>
      </c>
      <c r="D4935" s="501">
        <v>1049</v>
      </c>
      <c r="E4935">
        <v>0</v>
      </c>
      <c r="F4935">
        <v>0</v>
      </c>
      <c r="G4935">
        <v>0</v>
      </c>
      <c r="H4935" s="501">
        <v>1049</v>
      </c>
      <c r="I4935" s="183" t="s">
        <v>1040</v>
      </c>
      <c r="J4935" s="183" t="s">
        <v>12081</v>
      </c>
      <c r="K4935">
        <v>0</v>
      </c>
      <c r="L4935" s="501">
        <v>1049</v>
      </c>
    </row>
    <row r="4936" spans="1:12">
      <c r="A4936" s="183" t="s">
        <v>863</v>
      </c>
      <c r="B4936" s="183" t="s">
        <v>1039</v>
      </c>
      <c r="C4936">
        <v>8809867716442</v>
      </c>
      <c r="D4936">
        <v>600</v>
      </c>
      <c r="E4936">
        <v>0</v>
      </c>
      <c r="F4936">
        <v>0</v>
      </c>
      <c r="G4936">
        <v>0</v>
      </c>
      <c r="H4936">
        <v>600</v>
      </c>
      <c r="I4936" s="183" t="s">
        <v>1040</v>
      </c>
      <c r="J4936" s="183" t="s">
        <v>12094</v>
      </c>
      <c r="K4936">
        <v>0</v>
      </c>
      <c r="L4936">
        <v>600</v>
      </c>
    </row>
    <row r="4937" spans="1:12">
      <c r="A4937" s="183" t="s">
        <v>905</v>
      </c>
      <c r="B4937" s="183" t="s">
        <v>1039</v>
      </c>
      <c r="C4937">
        <v>8809867716534</v>
      </c>
      <c r="D4937">
        <v>423</v>
      </c>
      <c r="E4937">
        <v>0</v>
      </c>
      <c r="F4937">
        <v>0</v>
      </c>
      <c r="G4937">
        <v>0</v>
      </c>
      <c r="H4937">
        <v>423</v>
      </c>
      <c r="I4937" s="183" t="s">
        <v>1040</v>
      </c>
      <c r="J4937" s="183" t="s">
        <v>12053</v>
      </c>
      <c r="K4937">
        <v>0</v>
      </c>
      <c r="L4937">
        <v>423</v>
      </c>
    </row>
    <row r="4938" spans="1:12">
      <c r="A4938" s="183" t="s">
        <v>864</v>
      </c>
      <c r="B4938" s="183" t="s">
        <v>1039</v>
      </c>
      <c r="C4938">
        <v>8809867716565</v>
      </c>
      <c r="D4938" s="501">
        <v>1287</v>
      </c>
      <c r="E4938">
        <v>0</v>
      </c>
      <c r="F4938">
        <v>0</v>
      </c>
      <c r="G4938">
        <v>0</v>
      </c>
      <c r="H4938" s="501">
        <v>1287</v>
      </c>
      <c r="I4938" s="183" t="s">
        <v>1040</v>
      </c>
      <c r="J4938" s="183" t="s">
        <v>12091</v>
      </c>
      <c r="K4938">
        <v>0</v>
      </c>
      <c r="L4938" s="501">
        <v>1287</v>
      </c>
    </row>
    <row r="4939" spans="1:12">
      <c r="A4939" s="183" t="s">
        <v>865</v>
      </c>
      <c r="B4939" s="183" t="s">
        <v>1039</v>
      </c>
      <c r="C4939">
        <v>8809867716572</v>
      </c>
      <c r="D4939" s="501">
        <v>1293</v>
      </c>
      <c r="E4939">
        <v>0</v>
      </c>
      <c r="F4939">
        <v>0</v>
      </c>
      <c r="G4939">
        <v>0</v>
      </c>
      <c r="H4939" s="501">
        <v>1293</v>
      </c>
      <c r="I4939" s="183" t="s">
        <v>1040</v>
      </c>
      <c r="J4939" s="183" t="s">
        <v>12067</v>
      </c>
      <c r="K4939">
        <v>0</v>
      </c>
      <c r="L4939" s="501">
        <v>1293</v>
      </c>
    </row>
    <row r="4940" spans="1:12">
      <c r="A4940" s="183" t="s">
        <v>866</v>
      </c>
      <c r="B4940" s="183" t="s">
        <v>1039</v>
      </c>
      <c r="C4940">
        <v>8809867716596</v>
      </c>
      <c r="D4940">
        <v>833</v>
      </c>
      <c r="E4940">
        <v>0</v>
      </c>
      <c r="F4940">
        <v>0</v>
      </c>
      <c r="G4940">
        <v>0</v>
      </c>
      <c r="H4940">
        <v>833</v>
      </c>
      <c r="I4940" s="183" t="s">
        <v>1040</v>
      </c>
      <c r="J4940" s="183" t="s">
        <v>12081</v>
      </c>
      <c r="K4940">
        <v>0</v>
      </c>
      <c r="L4940">
        <v>833</v>
      </c>
    </row>
    <row r="4941" spans="1:12">
      <c r="A4941" s="183" t="s">
        <v>3511</v>
      </c>
      <c r="B4941" s="183" t="s">
        <v>1039</v>
      </c>
      <c r="C4941">
        <v>8809867716626</v>
      </c>
      <c r="D4941">
        <v>247</v>
      </c>
      <c r="E4941">
        <v>0</v>
      </c>
      <c r="F4941">
        <v>0</v>
      </c>
      <c r="G4941">
        <v>0</v>
      </c>
      <c r="H4941">
        <v>247</v>
      </c>
      <c r="I4941" s="183" t="s">
        <v>1040</v>
      </c>
      <c r="J4941" s="183" t="s">
        <v>12052</v>
      </c>
      <c r="K4941">
        <v>0</v>
      </c>
      <c r="L4941">
        <v>247</v>
      </c>
    </row>
    <row r="4942" spans="1:12">
      <c r="A4942" s="183" t="s">
        <v>894</v>
      </c>
      <c r="B4942" s="183" t="s">
        <v>1039</v>
      </c>
      <c r="C4942">
        <v>8809867716756</v>
      </c>
      <c r="D4942">
        <v>451</v>
      </c>
      <c r="E4942">
        <v>0</v>
      </c>
      <c r="F4942">
        <v>0</v>
      </c>
      <c r="G4942">
        <v>0</v>
      </c>
      <c r="H4942">
        <v>451</v>
      </c>
      <c r="I4942" s="183" t="s">
        <v>1040</v>
      </c>
      <c r="J4942" s="183" t="s">
        <v>12085</v>
      </c>
      <c r="K4942">
        <v>0</v>
      </c>
      <c r="L4942">
        <v>451</v>
      </c>
    </row>
    <row r="4943" spans="1:12">
      <c r="A4943" s="183" t="s">
        <v>3791</v>
      </c>
      <c r="B4943" s="183" t="s">
        <v>1039</v>
      </c>
      <c r="C4943">
        <v>8809867716831</v>
      </c>
      <c r="D4943" s="501">
        <v>1187</v>
      </c>
      <c r="E4943">
        <v>0</v>
      </c>
      <c r="F4943">
        <v>0</v>
      </c>
      <c r="G4943">
        <v>0</v>
      </c>
      <c r="H4943" s="501">
        <v>1187</v>
      </c>
      <c r="I4943" s="183" t="s">
        <v>1040</v>
      </c>
      <c r="J4943" s="183" t="s">
        <v>12066</v>
      </c>
      <c r="K4943">
        <v>0</v>
      </c>
      <c r="L4943" s="501">
        <v>1187</v>
      </c>
    </row>
    <row r="4944" spans="1:12">
      <c r="A4944" s="183" t="s">
        <v>895</v>
      </c>
      <c r="B4944" s="183" t="s">
        <v>1039</v>
      </c>
      <c r="C4944">
        <v>8809867716909</v>
      </c>
      <c r="D4944">
        <v>535</v>
      </c>
      <c r="E4944">
        <v>0</v>
      </c>
      <c r="F4944">
        <v>0</v>
      </c>
      <c r="G4944">
        <v>0</v>
      </c>
      <c r="H4944">
        <v>535</v>
      </c>
      <c r="I4944" s="183" t="s">
        <v>1040</v>
      </c>
      <c r="J4944" s="183" t="s">
        <v>12081</v>
      </c>
      <c r="K4944">
        <v>0</v>
      </c>
      <c r="L4944">
        <v>535</v>
      </c>
    </row>
    <row r="4945" spans="1:12">
      <c r="A4945" s="183" t="s">
        <v>9175</v>
      </c>
      <c r="B4945" s="183" t="s">
        <v>1039</v>
      </c>
      <c r="C4945">
        <v>8809867716923</v>
      </c>
      <c r="D4945">
        <v>78</v>
      </c>
      <c r="E4945">
        <v>0</v>
      </c>
      <c r="F4945">
        <v>0</v>
      </c>
      <c r="G4945">
        <v>0</v>
      </c>
      <c r="H4945">
        <v>78</v>
      </c>
      <c r="I4945" s="183" t="s">
        <v>1040</v>
      </c>
      <c r="J4945" s="183" t="s">
        <v>12053</v>
      </c>
      <c r="K4945">
        <v>0</v>
      </c>
      <c r="L4945">
        <v>78</v>
      </c>
    </row>
    <row r="4946" spans="1:12">
      <c r="A4946" s="183" t="s">
        <v>3779</v>
      </c>
      <c r="B4946" s="183" t="s">
        <v>1039</v>
      </c>
      <c r="C4946">
        <v>8809867716985</v>
      </c>
      <c r="D4946">
        <v>173</v>
      </c>
      <c r="E4946">
        <v>0</v>
      </c>
      <c r="F4946">
        <v>0</v>
      </c>
      <c r="G4946">
        <v>0</v>
      </c>
      <c r="H4946">
        <v>173</v>
      </c>
      <c r="I4946" s="183" t="s">
        <v>1040</v>
      </c>
      <c r="J4946" s="183" t="s">
        <v>12067</v>
      </c>
      <c r="K4946">
        <v>0</v>
      </c>
      <c r="L4946">
        <v>173</v>
      </c>
    </row>
    <row r="4947" spans="1:12">
      <c r="A4947" s="183" t="s">
        <v>2331</v>
      </c>
      <c r="B4947" s="183" t="s">
        <v>1039</v>
      </c>
      <c r="C4947">
        <v>8809867717159</v>
      </c>
      <c r="D4947">
        <v>196</v>
      </c>
      <c r="E4947">
        <v>0</v>
      </c>
      <c r="F4947">
        <v>0</v>
      </c>
      <c r="G4947">
        <v>0</v>
      </c>
      <c r="H4947">
        <v>196</v>
      </c>
      <c r="I4947" s="183" t="s">
        <v>1040</v>
      </c>
      <c r="J4947" s="183" t="s">
        <v>12059</v>
      </c>
      <c r="K4947">
        <v>0</v>
      </c>
      <c r="L4947">
        <v>196</v>
      </c>
    </row>
    <row r="4948" spans="1:12">
      <c r="A4948" s="183" t="s">
        <v>931</v>
      </c>
      <c r="B4948" s="183" t="s">
        <v>927</v>
      </c>
      <c r="C4948">
        <v>8809867717272</v>
      </c>
      <c r="D4948" s="501">
        <v>1540</v>
      </c>
      <c r="E4948">
        <v>0</v>
      </c>
      <c r="F4948">
        <v>0</v>
      </c>
      <c r="G4948">
        <v>0</v>
      </c>
      <c r="H4948" s="501">
        <v>1540</v>
      </c>
      <c r="I4948" s="183" t="s">
        <v>1021</v>
      </c>
      <c r="J4948" s="183" t="s">
        <v>12095</v>
      </c>
      <c r="K4948">
        <v>0</v>
      </c>
      <c r="L4948" s="501">
        <v>1540</v>
      </c>
    </row>
    <row r="4949" spans="1:12">
      <c r="A4949" s="183" t="s">
        <v>960</v>
      </c>
      <c r="B4949" s="183" t="s">
        <v>927</v>
      </c>
      <c r="C4949">
        <v>8809867717401</v>
      </c>
      <c r="D4949" s="501">
        <v>1827</v>
      </c>
      <c r="E4949">
        <v>0</v>
      </c>
      <c r="F4949">
        <v>0</v>
      </c>
      <c r="G4949">
        <v>0</v>
      </c>
      <c r="H4949" s="501">
        <v>1827</v>
      </c>
      <c r="I4949" s="183" t="s">
        <v>1021</v>
      </c>
      <c r="J4949" s="183" t="s">
        <v>12063</v>
      </c>
      <c r="K4949">
        <v>0</v>
      </c>
      <c r="L4949" s="501">
        <v>1827</v>
      </c>
    </row>
    <row r="4950" spans="1:12">
      <c r="A4950" s="183" t="s">
        <v>913</v>
      </c>
      <c r="B4950" s="183" t="s">
        <v>927</v>
      </c>
      <c r="C4950">
        <v>8809867717418</v>
      </c>
      <c r="D4950">
        <v>862</v>
      </c>
      <c r="E4950">
        <v>0</v>
      </c>
      <c r="F4950">
        <v>0</v>
      </c>
      <c r="G4950">
        <v>0</v>
      </c>
      <c r="H4950">
        <v>862</v>
      </c>
      <c r="I4950" s="183" t="s">
        <v>1021</v>
      </c>
      <c r="J4950" s="183" t="s">
        <v>12087</v>
      </c>
      <c r="K4950">
        <v>0</v>
      </c>
      <c r="L4950">
        <v>862</v>
      </c>
    </row>
    <row r="4951" spans="1:12">
      <c r="A4951" s="183" t="s">
        <v>936</v>
      </c>
      <c r="B4951" s="183" t="s">
        <v>927</v>
      </c>
      <c r="C4951">
        <v>8809867717425</v>
      </c>
      <c r="D4951" s="501">
        <v>1120</v>
      </c>
      <c r="E4951">
        <v>0</v>
      </c>
      <c r="F4951">
        <v>0</v>
      </c>
      <c r="G4951">
        <v>0</v>
      </c>
      <c r="H4951" s="501">
        <v>1120</v>
      </c>
      <c r="I4951" s="183" t="s">
        <v>1021</v>
      </c>
      <c r="J4951" s="183" t="s">
        <v>12093</v>
      </c>
      <c r="K4951">
        <v>0</v>
      </c>
      <c r="L4951" s="501">
        <v>1120</v>
      </c>
    </row>
    <row r="4952" spans="1:12">
      <c r="A4952" s="183" t="s">
        <v>962</v>
      </c>
      <c r="B4952" s="183" t="s">
        <v>927</v>
      </c>
      <c r="C4952">
        <v>8809867717463</v>
      </c>
      <c r="D4952">
        <v>932</v>
      </c>
      <c r="E4952">
        <v>0</v>
      </c>
      <c r="F4952">
        <v>0</v>
      </c>
      <c r="G4952">
        <v>0</v>
      </c>
      <c r="H4952">
        <v>932</v>
      </c>
      <c r="I4952" s="183" t="s">
        <v>1021</v>
      </c>
      <c r="J4952" s="183" t="s">
        <v>12095</v>
      </c>
      <c r="K4952">
        <v>0</v>
      </c>
      <c r="L4952">
        <v>932</v>
      </c>
    </row>
    <row r="4953" spans="1:12">
      <c r="A4953" s="183" t="s">
        <v>917</v>
      </c>
      <c r="B4953" s="183" t="s">
        <v>927</v>
      </c>
      <c r="C4953">
        <v>8809867717531</v>
      </c>
      <c r="D4953" s="501">
        <v>1656</v>
      </c>
      <c r="E4953">
        <v>0</v>
      </c>
      <c r="F4953">
        <v>0</v>
      </c>
      <c r="G4953">
        <v>0</v>
      </c>
      <c r="H4953" s="501">
        <v>1656</v>
      </c>
      <c r="I4953" s="183" t="s">
        <v>1021</v>
      </c>
      <c r="J4953" s="183" t="s">
        <v>12093</v>
      </c>
      <c r="K4953">
        <v>0</v>
      </c>
      <c r="L4953" s="501">
        <v>1656</v>
      </c>
    </row>
    <row r="4954" spans="1:12">
      <c r="A4954" s="183" t="s">
        <v>966</v>
      </c>
      <c r="B4954" s="183" t="s">
        <v>927</v>
      </c>
      <c r="C4954">
        <v>8809867717586</v>
      </c>
      <c r="D4954">
        <v>813</v>
      </c>
      <c r="E4954">
        <v>0</v>
      </c>
      <c r="F4954">
        <v>0</v>
      </c>
      <c r="G4954">
        <v>0</v>
      </c>
      <c r="H4954">
        <v>813</v>
      </c>
      <c r="I4954" s="183" t="s">
        <v>1021</v>
      </c>
      <c r="J4954" s="183" t="s">
        <v>12085</v>
      </c>
      <c r="K4954">
        <v>0</v>
      </c>
      <c r="L4954">
        <v>813</v>
      </c>
    </row>
    <row r="4955" spans="1:12">
      <c r="A4955" s="183" t="s">
        <v>3773</v>
      </c>
      <c r="B4955" s="183" t="s">
        <v>927</v>
      </c>
      <c r="C4955">
        <v>8809867717708</v>
      </c>
      <c r="D4955">
        <v>860</v>
      </c>
      <c r="E4955">
        <v>0</v>
      </c>
      <c r="F4955">
        <v>0</v>
      </c>
      <c r="G4955">
        <v>0</v>
      </c>
      <c r="H4955">
        <v>860</v>
      </c>
      <c r="I4955" s="183" t="s">
        <v>1021</v>
      </c>
      <c r="J4955" s="183" t="s">
        <v>12094</v>
      </c>
      <c r="K4955">
        <v>0</v>
      </c>
      <c r="L4955">
        <v>860</v>
      </c>
    </row>
    <row r="4956" spans="1:12">
      <c r="A4956" s="183" t="s">
        <v>951</v>
      </c>
      <c r="B4956" s="183" t="s">
        <v>927</v>
      </c>
      <c r="C4956">
        <v>8809867717876</v>
      </c>
      <c r="D4956">
        <v>866</v>
      </c>
      <c r="E4956">
        <v>0</v>
      </c>
      <c r="F4956">
        <v>0</v>
      </c>
      <c r="G4956">
        <v>0</v>
      </c>
      <c r="H4956">
        <v>866</v>
      </c>
      <c r="I4956" s="183" t="s">
        <v>1021</v>
      </c>
      <c r="J4956" s="183" t="s">
        <v>12081</v>
      </c>
      <c r="K4956">
        <v>0</v>
      </c>
      <c r="L4956">
        <v>866</v>
      </c>
    </row>
    <row r="4957" spans="1:12">
      <c r="A4957" s="183" t="s">
        <v>3860</v>
      </c>
      <c r="B4957" s="183" t="s">
        <v>927</v>
      </c>
      <c r="C4957">
        <v>8809867717883</v>
      </c>
      <c r="D4957" s="501">
        <v>1729</v>
      </c>
      <c r="E4957">
        <v>0</v>
      </c>
      <c r="F4957">
        <v>0</v>
      </c>
      <c r="G4957">
        <v>0</v>
      </c>
      <c r="H4957" s="501">
        <v>1729</v>
      </c>
      <c r="I4957" s="183" t="s">
        <v>1021</v>
      </c>
      <c r="J4957" s="183" t="s">
        <v>12060</v>
      </c>
      <c r="K4957">
        <v>0</v>
      </c>
      <c r="L4957" s="501">
        <v>1729</v>
      </c>
    </row>
    <row r="4958" spans="1:12">
      <c r="A4958" s="183" t="s">
        <v>2975</v>
      </c>
      <c r="B4958" s="183" t="s">
        <v>927</v>
      </c>
      <c r="C4958">
        <v>8809867717890</v>
      </c>
      <c r="D4958">
        <v>427</v>
      </c>
      <c r="E4958">
        <v>0</v>
      </c>
      <c r="F4958">
        <v>0</v>
      </c>
      <c r="G4958">
        <v>0</v>
      </c>
      <c r="H4958">
        <v>427</v>
      </c>
      <c r="I4958" s="183" t="s">
        <v>1021</v>
      </c>
      <c r="J4958" s="183" t="s">
        <v>12081</v>
      </c>
      <c r="K4958">
        <v>0</v>
      </c>
      <c r="L4958">
        <v>427</v>
      </c>
    </row>
    <row r="4959" spans="1:12">
      <c r="A4959" s="183" t="s">
        <v>1548</v>
      </c>
      <c r="B4959" s="183" t="s">
        <v>927</v>
      </c>
      <c r="C4959">
        <v>8809867717951</v>
      </c>
      <c r="D4959">
        <v>436</v>
      </c>
      <c r="E4959">
        <v>0</v>
      </c>
      <c r="F4959">
        <v>0</v>
      </c>
      <c r="G4959">
        <v>0</v>
      </c>
      <c r="H4959">
        <v>436</v>
      </c>
      <c r="I4959" s="183" t="s">
        <v>1021</v>
      </c>
      <c r="J4959" s="183" t="s">
        <v>12081</v>
      </c>
      <c r="K4959">
        <v>0</v>
      </c>
      <c r="L4959">
        <v>436</v>
      </c>
    </row>
    <row r="4960" spans="1:12">
      <c r="A4960" s="183" t="s">
        <v>1713</v>
      </c>
      <c r="B4960" s="183" t="s">
        <v>927</v>
      </c>
      <c r="C4960">
        <v>8809867717999</v>
      </c>
      <c r="D4960">
        <v>489</v>
      </c>
      <c r="E4960">
        <v>0</v>
      </c>
      <c r="F4960">
        <v>0</v>
      </c>
      <c r="G4960">
        <v>0</v>
      </c>
      <c r="H4960">
        <v>489</v>
      </c>
      <c r="I4960" s="183" t="s">
        <v>1021</v>
      </c>
      <c r="J4960" s="183" t="s">
        <v>12091</v>
      </c>
      <c r="K4960">
        <v>0</v>
      </c>
      <c r="L4960">
        <v>489</v>
      </c>
    </row>
    <row r="4961" spans="1:12">
      <c r="A4961" s="183" t="s">
        <v>1378</v>
      </c>
      <c r="B4961" s="183" t="s">
        <v>1006</v>
      </c>
      <c r="C4961">
        <v>8809867704616</v>
      </c>
      <c r="D4961">
        <v>53</v>
      </c>
      <c r="E4961">
        <v>0</v>
      </c>
      <c r="F4961">
        <v>0</v>
      </c>
      <c r="G4961">
        <v>0</v>
      </c>
      <c r="H4961">
        <v>53</v>
      </c>
      <c r="I4961" s="183" t="s">
        <v>1007</v>
      </c>
      <c r="J4961" s="183" t="s">
        <v>12094</v>
      </c>
      <c r="K4961">
        <v>0</v>
      </c>
      <c r="L4961">
        <v>53</v>
      </c>
    </row>
    <row r="4962" spans="1:12">
      <c r="A4962" s="183" t="s">
        <v>2213</v>
      </c>
      <c r="B4962" s="183" t="s">
        <v>1006</v>
      </c>
      <c r="C4962">
        <v>8809867704654</v>
      </c>
      <c r="D4962">
        <v>41</v>
      </c>
      <c r="E4962">
        <v>0</v>
      </c>
      <c r="F4962">
        <v>0</v>
      </c>
      <c r="G4962">
        <v>0</v>
      </c>
      <c r="H4962">
        <v>41</v>
      </c>
      <c r="I4962" s="183" t="s">
        <v>1007</v>
      </c>
      <c r="J4962" s="183" t="s">
        <v>12081</v>
      </c>
      <c r="K4962">
        <v>0</v>
      </c>
      <c r="L4962">
        <v>41</v>
      </c>
    </row>
    <row r="4963" spans="1:12">
      <c r="A4963" s="183" t="s">
        <v>1271</v>
      </c>
      <c r="B4963" s="183" t="s">
        <v>1006</v>
      </c>
      <c r="C4963">
        <v>8809867704746</v>
      </c>
      <c r="D4963">
        <v>112</v>
      </c>
      <c r="E4963">
        <v>0</v>
      </c>
      <c r="F4963">
        <v>0</v>
      </c>
      <c r="G4963">
        <v>0</v>
      </c>
      <c r="H4963">
        <v>112</v>
      </c>
      <c r="I4963" s="183" t="s">
        <v>1007</v>
      </c>
      <c r="J4963" s="183" t="s">
        <v>12092</v>
      </c>
      <c r="K4963">
        <v>0</v>
      </c>
      <c r="L4963">
        <v>112</v>
      </c>
    </row>
    <row r="4964" spans="1:12">
      <c r="A4964" s="183" t="s">
        <v>2511</v>
      </c>
      <c r="B4964" s="183" t="s">
        <v>1006</v>
      </c>
      <c r="C4964">
        <v>8809867704753</v>
      </c>
      <c r="D4964">
        <v>36</v>
      </c>
      <c r="E4964">
        <v>0</v>
      </c>
      <c r="F4964">
        <v>0</v>
      </c>
      <c r="G4964">
        <v>0</v>
      </c>
      <c r="H4964">
        <v>36</v>
      </c>
      <c r="I4964" s="183" t="s">
        <v>1007</v>
      </c>
      <c r="J4964" s="183" t="s">
        <v>12092</v>
      </c>
      <c r="K4964">
        <v>0</v>
      </c>
      <c r="L4964">
        <v>36</v>
      </c>
    </row>
    <row r="4965" spans="1:12">
      <c r="A4965" s="183" t="s">
        <v>1379</v>
      </c>
      <c r="B4965" s="183" t="s">
        <v>1042</v>
      </c>
      <c r="C4965">
        <v>8809867704890</v>
      </c>
      <c r="D4965">
        <v>81</v>
      </c>
      <c r="E4965">
        <v>0</v>
      </c>
      <c r="F4965">
        <v>0</v>
      </c>
      <c r="G4965">
        <v>0</v>
      </c>
      <c r="H4965">
        <v>81</v>
      </c>
      <c r="I4965" s="183" t="s">
        <v>1043</v>
      </c>
      <c r="J4965" s="183" t="s">
        <v>12081</v>
      </c>
      <c r="K4965">
        <v>0</v>
      </c>
      <c r="L4965">
        <v>81</v>
      </c>
    </row>
    <row r="4966" spans="1:12">
      <c r="A4966" s="183" t="s">
        <v>1882</v>
      </c>
      <c r="B4966" s="183" t="s">
        <v>1042</v>
      </c>
      <c r="C4966">
        <v>8809867704951</v>
      </c>
      <c r="D4966">
        <v>146</v>
      </c>
      <c r="E4966">
        <v>0</v>
      </c>
      <c r="F4966">
        <v>0</v>
      </c>
      <c r="G4966">
        <v>0</v>
      </c>
      <c r="H4966">
        <v>146</v>
      </c>
      <c r="I4966" s="183" t="s">
        <v>1043</v>
      </c>
      <c r="J4966" s="183" t="s">
        <v>12053</v>
      </c>
      <c r="K4966">
        <v>0</v>
      </c>
      <c r="L4966">
        <v>146</v>
      </c>
    </row>
    <row r="4967" spans="1:12">
      <c r="A4967" s="183" t="s">
        <v>2333</v>
      </c>
      <c r="B4967" s="183" t="s">
        <v>1042</v>
      </c>
      <c r="C4967">
        <v>8809867705040</v>
      </c>
      <c r="D4967">
        <v>73</v>
      </c>
      <c r="E4967">
        <v>0</v>
      </c>
      <c r="F4967">
        <v>0</v>
      </c>
      <c r="G4967">
        <v>0</v>
      </c>
      <c r="H4967">
        <v>73</v>
      </c>
      <c r="I4967" s="183" t="s">
        <v>1043</v>
      </c>
      <c r="J4967" s="183" t="s">
        <v>12060</v>
      </c>
      <c r="K4967">
        <v>0</v>
      </c>
      <c r="L4967">
        <v>73</v>
      </c>
    </row>
    <row r="4968" spans="1:12">
      <c r="A4968" s="183" t="s">
        <v>1177</v>
      </c>
      <c r="B4968" s="183" t="s">
        <v>1178</v>
      </c>
      <c r="C4968">
        <v>8809867705057</v>
      </c>
      <c r="D4968">
        <v>72</v>
      </c>
      <c r="E4968">
        <v>0</v>
      </c>
      <c r="F4968">
        <v>0</v>
      </c>
      <c r="G4968">
        <v>0</v>
      </c>
      <c r="H4968">
        <v>72</v>
      </c>
      <c r="I4968" s="183" t="s">
        <v>1179</v>
      </c>
      <c r="J4968" s="183" t="s">
        <v>12091</v>
      </c>
      <c r="K4968">
        <v>0</v>
      </c>
      <c r="L4968">
        <v>72</v>
      </c>
    </row>
    <row r="4969" spans="1:12">
      <c r="A4969" s="183" t="s">
        <v>1894</v>
      </c>
      <c r="B4969" s="183" t="s">
        <v>1178</v>
      </c>
      <c r="C4969">
        <v>8809867705149</v>
      </c>
      <c r="D4969">
        <v>152</v>
      </c>
      <c r="E4969">
        <v>0</v>
      </c>
      <c r="F4969">
        <v>0</v>
      </c>
      <c r="G4969">
        <v>0</v>
      </c>
      <c r="H4969">
        <v>152</v>
      </c>
      <c r="I4969" s="183" t="s">
        <v>1179</v>
      </c>
      <c r="J4969" s="183" t="s">
        <v>12067</v>
      </c>
      <c r="K4969">
        <v>0</v>
      </c>
      <c r="L4969">
        <v>152</v>
      </c>
    </row>
    <row r="4970" spans="1:12">
      <c r="A4970" s="183" t="s">
        <v>2035</v>
      </c>
      <c r="B4970" s="183" t="s">
        <v>1178</v>
      </c>
      <c r="C4970">
        <v>8809867705286</v>
      </c>
      <c r="D4970">
        <v>261</v>
      </c>
      <c r="E4970">
        <v>0</v>
      </c>
      <c r="F4970">
        <v>0</v>
      </c>
      <c r="G4970">
        <v>0</v>
      </c>
      <c r="H4970">
        <v>261</v>
      </c>
      <c r="I4970" s="183" t="s">
        <v>1179</v>
      </c>
      <c r="J4970" s="183" t="s">
        <v>12054</v>
      </c>
      <c r="K4970">
        <v>0</v>
      </c>
      <c r="L4970">
        <v>261</v>
      </c>
    </row>
    <row r="4971" spans="1:12">
      <c r="A4971" s="183" t="s">
        <v>1886</v>
      </c>
      <c r="B4971" s="183" t="s">
        <v>1178</v>
      </c>
      <c r="C4971">
        <v>8809867705293</v>
      </c>
      <c r="D4971">
        <v>169</v>
      </c>
      <c r="E4971">
        <v>0</v>
      </c>
      <c r="F4971">
        <v>0</v>
      </c>
      <c r="G4971">
        <v>0</v>
      </c>
      <c r="H4971">
        <v>169</v>
      </c>
      <c r="I4971" s="183" t="s">
        <v>1179</v>
      </c>
      <c r="J4971" s="183" t="s">
        <v>12092</v>
      </c>
      <c r="K4971">
        <v>0</v>
      </c>
      <c r="L4971">
        <v>169</v>
      </c>
    </row>
    <row r="4972" spans="1:12">
      <c r="A4972" s="183" t="s">
        <v>2048</v>
      </c>
      <c r="B4972" s="183" t="s">
        <v>1420</v>
      </c>
      <c r="C4972">
        <v>8809867705316</v>
      </c>
      <c r="D4972">
        <v>14</v>
      </c>
      <c r="E4972">
        <v>0</v>
      </c>
      <c r="F4972">
        <v>0</v>
      </c>
      <c r="G4972">
        <v>0</v>
      </c>
      <c r="H4972">
        <v>14</v>
      </c>
      <c r="I4972" s="183" t="s">
        <v>1421</v>
      </c>
      <c r="J4972" s="183" t="s">
        <v>12081</v>
      </c>
      <c r="K4972">
        <v>0</v>
      </c>
      <c r="L4972">
        <v>14</v>
      </c>
    </row>
    <row r="4973" spans="1:12">
      <c r="A4973" s="183" t="s">
        <v>2538</v>
      </c>
      <c r="B4973" s="183" t="s">
        <v>1420</v>
      </c>
      <c r="C4973">
        <v>8809867705392</v>
      </c>
      <c r="D4973">
        <v>66</v>
      </c>
      <c r="E4973">
        <v>0</v>
      </c>
      <c r="F4973">
        <v>0</v>
      </c>
      <c r="G4973">
        <v>0</v>
      </c>
      <c r="H4973">
        <v>66</v>
      </c>
      <c r="I4973" s="183" t="s">
        <v>1421</v>
      </c>
      <c r="J4973" s="183" t="s">
        <v>12059</v>
      </c>
      <c r="K4973">
        <v>0</v>
      </c>
      <c r="L4973">
        <v>66</v>
      </c>
    </row>
    <row r="4974" spans="1:12">
      <c r="A4974" s="183" t="s">
        <v>2217</v>
      </c>
      <c r="B4974" s="183" t="s">
        <v>1420</v>
      </c>
      <c r="C4974">
        <v>8809867705491</v>
      </c>
      <c r="D4974">
        <v>165</v>
      </c>
      <c r="E4974">
        <v>0</v>
      </c>
      <c r="F4974">
        <v>0</v>
      </c>
      <c r="G4974">
        <v>0</v>
      </c>
      <c r="H4974">
        <v>165</v>
      </c>
      <c r="I4974" s="183" t="s">
        <v>1421</v>
      </c>
      <c r="J4974" s="183" t="s">
        <v>12050</v>
      </c>
      <c r="K4974">
        <v>0</v>
      </c>
      <c r="L4974">
        <v>165</v>
      </c>
    </row>
    <row r="4975" spans="1:12">
      <c r="A4975" s="183" t="s">
        <v>3826</v>
      </c>
      <c r="B4975" s="183" t="s">
        <v>3827</v>
      </c>
      <c r="C4975">
        <v>8809959703916</v>
      </c>
      <c r="D4975">
        <v>484</v>
      </c>
      <c r="E4975">
        <v>0</v>
      </c>
      <c r="F4975">
        <v>0</v>
      </c>
      <c r="G4975">
        <v>0</v>
      </c>
      <c r="H4975">
        <v>484</v>
      </c>
      <c r="I4975" s="183" t="s">
        <v>3278</v>
      </c>
      <c r="J4975" s="183" t="s">
        <v>12060</v>
      </c>
      <c r="K4975">
        <v>0</v>
      </c>
      <c r="L4975">
        <v>484</v>
      </c>
    </row>
    <row r="4976" spans="1:12">
      <c r="A4976" s="183" t="s">
        <v>3283</v>
      </c>
      <c r="B4976" s="183" t="s">
        <v>3284</v>
      </c>
      <c r="C4976">
        <v>8809959703947</v>
      </c>
      <c r="D4976">
        <v>274</v>
      </c>
      <c r="E4976">
        <v>0</v>
      </c>
      <c r="F4976">
        <v>0</v>
      </c>
      <c r="G4976">
        <v>0</v>
      </c>
      <c r="H4976">
        <v>274</v>
      </c>
      <c r="I4976" s="183" t="s">
        <v>3278</v>
      </c>
      <c r="J4976" s="183" t="s">
        <v>12092</v>
      </c>
      <c r="K4976">
        <v>0</v>
      </c>
      <c r="L4976">
        <v>274</v>
      </c>
    </row>
    <row r="4977" spans="1:12">
      <c r="A4977" s="183" t="s">
        <v>3295</v>
      </c>
      <c r="B4977" s="183" t="s">
        <v>3296</v>
      </c>
      <c r="C4977">
        <v>8809959703961</v>
      </c>
      <c r="D4977">
        <v>171</v>
      </c>
      <c r="E4977">
        <v>0</v>
      </c>
      <c r="F4977">
        <v>0</v>
      </c>
      <c r="G4977">
        <v>0</v>
      </c>
      <c r="H4977">
        <v>171</v>
      </c>
      <c r="I4977" s="183" t="s">
        <v>3278</v>
      </c>
      <c r="J4977" s="183" t="s">
        <v>12067</v>
      </c>
      <c r="K4977">
        <v>0</v>
      </c>
      <c r="L4977">
        <v>171</v>
      </c>
    </row>
    <row r="4978" spans="1:12">
      <c r="A4978" s="183" t="s">
        <v>3319</v>
      </c>
      <c r="B4978" s="183" t="s">
        <v>3320</v>
      </c>
      <c r="C4978">
        <v>8809959703985</v>
      </c>
      <c r="D4978">
        <v>74</v>
      </c>
      <c r="E4978">
        <v>0</v>
      </c>
      <c r="F4978">
        <v>0</v>
      </c>
      <c r="G4978">
        <v>0</v>
      </c>
      <c r="H4978">
        <v>74</v>
      </c>
      <c r="I4978" s="183" t="s">
        <v>3278</v>
      </c>
      <c r="J4978" s="183" t="s">
        <v>12059</v>
      </c>
      <c r="K4978">
        <v>0</v>
      </c>
      <c r="L4978">
        <v>74</v>
      </c>
    </row>
    <row r="4979" spans="1:12">
      <c r="A4979" s="183" t="s">
        <v>6616</v>
      </c>
      <c r="B4979" s="183" t="s">
        <v>3442</v>
      </c>
      <c r="C4979">
        <v>8809986728517</v>
      </c>
      <c r="D4979">
        <v>82</v>
      </c>
      <c r="E4979">
        <v>0</v>
      </c>
      <c r="F4979">
        <v>0</v>
      </c>
      <c r="G4979">
        <v>0</v>
      </c>
      <c r="H4979">
        <v>82</v>
      </c>
      <c r="I4979" s="183" t="s">
        <v>3443</v>
      </c>
      <c r="J4979" s="183" t="s">
        <v>12094</v>
      </c>
      <c r="K4979">
        <v>0</v>
      </c>
      <c r="L4979">
        <v>82</v>
      </c>
    </row>
    <row r="4980" spans="1:12">
      <c r="A4980" s="183" t="s">
        <v>3446</v>
      </c>
      <c r="B4980" s="183" t="s">
        <v>3447</v>
      </c>
      <c r="C4980">
        <v>8809986728555</v>
      </c>
      <c r="D4980">
        <v>239</v>
      </c>
      <c r="E4980">
        <v>0</v>
      </c>
      <c r="F4980">
        <v>0</v>
      </c>
      <c r="G4980">
        <v>0</v>
      </c>
      <c r="H4980">
        <v>239</v>
      </c>
      <c r="I4980" s="183" t="s">
        <v>3443</v>
      </c>
      <c r="J4980" s="183" t="s">
        <v>12081</v>
      </c>
      <c r="K4980">
        <v>0</v>
      </c>
      <c r="L4980">
        <v>239</v>
      </c>
    </row>
    <row r="4981" spans="1:12">
      <c r="A4981" s="183" t="s">
        <v>3459</v>
      </c>
      <c r="B4981" s="183" t="s">
        <v>3455</v>
      </c>
      <c r="C4981">
        <v>8809986728579</v>
      </c>
      <c r="D4981">
        <v>189</v>
      </c>
      <c r="E4981">
        <v>0</v>
      </c>
      <c r="F4981">
        <v>0</v>
      </c>
      <c r="G4981">
        <v>0</v>
      </c>
      <c r="H4981">
        <v>189</v>
      </c>
      <c r="I4981" s="183" t="s">
        <v>3443</v>
      </c>
      <c r="J4981" s="183" t="s">
        <v>12093</v>
      </c>
      <c r="K4981">
        <v>0</v>
      </c>
      <c r="L4981">
        <v>189</v>
      </c>
    </row>
    <row r="4982" spans="1:12">
      <c r="A4982" s="183" t="s">
        <v>3444</v>
      </c>
      <c r="B4982" s="183" t="s">
        <v>3445</v>
      </c>
      <c r="C4982">
        <v>8809986728609</v>
      </c>
      <c r="D4982">
        <v>195</v>
      </c>
      <c r="E4982">
        <v>0</v>
      </c>
      <c r="F4982">
        <v>0</v>
      </c>
      <c r="G4982">
        <v>0</v>
      </c>
      <c r="H4982">
        <v>195</v>
      </c>
      <c r="I4982" s="183" t="s">
        <v>3443</v>
      </c>
      <c r="J4982" s="183" t="s">
        <v>12081</v>
      </c>
      <c r="K4982">
        <v>0</v>
      </c>
      <c r="L4982">
        <v>195</v>
      </c>
    </row>
    <row r="4983" spans="1:12">
      <c r="A4983" s="183" t="s">
        <v>3895</v>
      </c>
      <c r="B4983" s="183" t="s">
        <v>3896</v>
      </c>
      <c r="C4983">
        <v>8809986728760</v>
      </c>
      <c r="D4983">
        <v>389</v>
      </c>
      <c r="E4983">
        <v>0</v>
      </c>
      <c r="F4983">
        <v>0</v>
      </c>
      <c r="G4983">
        <v>0</v>
      </c>
      <c r="H4983">
        <v>389</v>
      </c>
      <c r="I4983" s="183" t="s">
        <v>3878</v>
      </c>
      <c r="J4983" s="183" t="s">
        <v>12092</v>
      </c>
      <c r="K4983">
        <v>0</v>
      </c>
      <c r="L4983">
        <v>389</v>
      </c>
    </row>
    <row r="4984" spans="1:12">
      <c r="A4984" s="183" t="s">
        <v>3910</v>
      </c>
      <c r="B4984" s="183" t="s">
        <v>3896</v>
      </c>
      <c r="C4984">
        <v>8809986728791</v>
      </c>
      <c r="D4984">
        <v>278</v>
      </c>
      <c r="E4984">
        <v>0</v>
      </c>
      <c r="F4984">
        <v>0</v>
      </c>
      <c r="G4984">
        <v>0</v>
      </c>
      <c r="H4984">
        <v>278</v>
      </c>
      <c r="I4984" s="183" t="s">
        <v>3878</v>
      </c>
      <c r="J4984" s="183" t="s">
        <v>12094</v>
      </c>
      <c r="K4984">
        <v>0</v>
      </c>
      <c r="L4984">
        <v>278</v>
      </c>
    </row>
    <row r="4985" spans="1:12">
      <c r="A4985" s="183" t="s">
        <v>3899</v>
      </c>
      <c r="B4985" s="183" t="s">
        <v>3900</v>
      </c>
      <c r="C4985">
        <v>8809986728814</v>
      </c>
      <c r="D4985">
        <v>306</v>
      </c>
      <c r="E4985">
        <v>0</v>
      </c>
      <c r="F4985">
        <v>0</v>
      </c>
      <c r="G4985">
        <v>0</v>
      </c>
      <c r="H4985">
        <v>306</v>
      </c>
      <c r="I4985" s="183" t="s">
        <v>3878</v>
      </c>
      <c r="J4985" s="183" t="s">
        <v>12087</v>
      </c>
      <c r="K4985">
        <v>0</v>
      </c>
      <c r="L4985">
        <v>306</v>
      </c>
    </row>
    <row r="4986" spans="1:12">
      <c r="A4986" s="183" t="s">
        <v>3803</v>
      </c>
      <c r="B4986" s="183" t="s">
        <v>3576</v>
      </c>
      <c r="C4986">
        <v>8800245474152</v>
      </c>
      <c r="D4986">
        <v>185</v>
      </c>
      <c r="E4986">
        <v>0</v>
      </c>
      <c r="F4986">
        <v>0</v>
      </c>
      <c r="G4986">
        <v>0</v>
      </c>
      <c r="H4986">
        <v>185</v>
      </c>
      <c r="I4986" s="183" t="s">
        <v>3577</v>
      </c>
      <c r="J4986" s="183" t="s">
        <v>12093</v>
      </c>
      <c r="K4986">
        <v>0</v>
      </c>
      <c r="L4986">
        <v>185</v>
      </c>
    </row>
    <row r="4987" spans="1:12">
      <c r="A4987" s="183" t="s">
        <v>3585</v>
      </c>
      <c r="B4987" s="183" t="s">
        <v>3576</v>
      </c>
      <c r="C4987">
        <v>8800245474336</v>
      </c>
      <c r="D4987">
        <v>597</v>
      </c>
      <c r="E4987">
        <v>0</v>
      </c>
      <c r="F4987">
        <v>0</v>
      </c>
      <c r="G4987">
        <v>0</v>
      </c>
      <c r="H4987">
        <v>597</v>
      </c>
      <c r="I4987" s="183" t="s">
        <v>3577</v>
      </c>
      <c r="J4987" s="183" t="s">
        <v>12059</v>
      </c>
      <c r="K4987">
        <v>0</v>
      </c>
      <c r="L4987">
        <v>597</v>
      </c>
    </row>
    <row r="4988" spans="1:12">
      <c r="A4988" s="183" t="s">
        <v>3628</v>
      </c>
      <c r="B4988" s="183" t="s">
        <v>3576</v>
      </c>
      <c r="C4988">
        <v>8800245474497</v>
      </c>
      <c r="D4988" s="501">
        <v>1107</v>
      </c>
      <c r="E4988">
        <v>0</v>
      </c>
      <c r="F4988">
        <v>0</v>
      </c>
      <c r="G4988">
        <v>0</v>
      </c>
      <c r="H4988" s="501">
        <v>1107</v>
      </c>
      <c r="I4988" s="183" t="s">
        <v>3577</v>
      </c>
      <c r="J4988" s="183" t="s">
        <v>12059</v>
      </c>
      <c r="K4988">
        <v>0</v>
      </c>
      <c r="L4988" s="501">
        <v>1107</v>
      </c>
    </row>
    <row r="4989" spans="1:12">
      <c r="A4989" s="183" t="s">
        <v>3819</v>
      </c>
      <c r="B4989" s="183" t="s">
        <v>3576</v>
      </c>
      <c r="C4989">
        <v>8800245474510</v>
      </c>
      <c r="D4989">
        <v>435</v>
      </c>
      <c r="E4989">
        <v>0</v>
      </c>
      <c r="F4989">
        <v>0</v>
      </c>
      <c r="G4989">
        <v>0</v>
      </c>
      <c r="H4989">
        <v>435</v>
      </c>
      <c r="I4989" s="183" t="s">
        <v>3577</v>
      </c>
      <c r="J4989" s="183" t="s">
        <v>12067</v>
      </c>
      <c r="K4989">
        <v>0</v>
      </c>
      <c r="L4989">
        <v>435</v>
      </c>
    </row>
    <row r="4990" spans="1:12">
      <c r="A4990" s="183" t="s">
        <v>3633</v>
      </c>
      <c r="B4990" s="183" t="s">
        <v>3576</v>
      </c>
      <c r="C4990">
        <v>8800245474541</v>
      </c>
      <c r="D4990">
        <v>548</v>
      </c>
      <c r="E4990">
        <v>0</v>
      </c>
      <c r="F4990">
        <v>0</v>
      </c>
      <c r="G4990">
        <v>0</v>
      </c>
      <c r="H4990">
        <v>548</v>
      </c>
      <c r="I4990" s="183" t="s">
        <v>3577</v>
      </c>
      <c r="J4990" s="183" t="s">
        <v>12067</v>
      </c>
      <c r="K4990">
        <v>0</v>
      </c>
      <c r="L4990">
        <v>548</v>
      </c>
    </row>
    <row r="4991" spans="1:12">
      <c r="A4991" s="183" t="s">
        <v>3648</v>
      </c>
      <c r="B4991" s="183" t="s">
        <v>3576</v>
      </c>
      <c r="C4991">
        <v>8800245474565</v>
      </c>
      <c r="D4991" s="501">
        <v>1372</v>
      </c>
      <c r="E4991">
        <v>0</v>
      </c>
      <c r="F4991">
        <v>0</v>
      </c>
      <c r="G4991">
        <v>0</v>
      </c>
      <c r="H4991" s="501">
        <v>1372</v>
      </c>
      <c r="I4991" s="183" t="s">
        <v>3577</v>
      </c>
      <c r="J4991" s="183" t="s">
        <v>12060</v>
      </c>
      <c r="K4991">
        <v>0</v>
      </c>
      <c r="L4991" s="501">
        <v>1372</v>
      </c>
    </row>
    <row r="4992" spans="1:12">
      <c r="A4992" s="183" t="s">
        <v>3649</v>
      </c>
      <c r="B4992" s="183" t="s">
        <v>3576</v>
      </c>
      <c r="C4992">
        <v>8800245474657</v>
      </c>
      <c r="D4992" s="501">
        <v>1745</v>
      </c>
      <c r="E4992">
        <v>0</v>
      </c>
      <c r="F4992">
        <v>0</v>
      </c>
      <c r="G4992">
        <v>0</v>
      </c>
      <c r="H4992" s="501">
        <v>1745</v>
      </c>
      <c r="I4992" s="183" t="s">
        <v>3577</v>
      </c>
      <c r="J4992" s="183" t="s">
        <v>12081</v>
      </c>
      <c r="K4992">
        <v>0</v>
      </c>
      <c r="L4992" s="501">
        <v>1745</v>
      </c>
    </row>
    <row r="4993" spans="1:12">
      <c r="A4993" s="183" t="s">
        <v>3815</v>
      </c>
      <c r="B4993" s="183" t="s">
        <v>3576</v>
      </c>
      <c r="C4993">
        <v>8800245474732</v>
      </c>
      <c r="D4993">
        <v>471</v>
      </c>
      <c r="E4993">
        <v>0</v>
      </c>
      <c r="F4993">
        <v>0</v>
      </c>
      <c r="G4993">
        <v>0</v>
      </c>
      <c r="H4993">
        <v>471</v>
      </c>
      <c r="I4993" s="183" t="s">
        <v>3577</v>
      </c>
      <c r="J4993" s="183" t="s">
        <v>12092</v>
      </c>
      <c r="K4993">
        <v>0</v>
      </c>
      <c r="L4993">
        <v>471</v>
      </c>
    </row>
    <row r="4994" spans="1:12">
      <c r="A4994" s="183" t="s">
        <v>3646</v>
      </c>
      <c r="B4994" s="183" t="s">
        <v>3574</v>
      </c>
      <c r="C4994">
        <v>8800245474909</v>
      </c>
      <c r="D4994">
        <v>337</v>
      </c>
      <c r="E4994">
        <v>0</v>
      </c>
      <c r="F4994">
        <v>0</v>
      </c>
      <c r="G4994">
        <v>0</v>
      </c>
      <c r="H4994">
        <v>337</v>
      </c>
      <c r="I4994" s="183" t="s">
        <v>3575</v>
      </c>
      <c r="J4994" s="183" t="s">
        <v>12092</v>
      </c>
      <c r="K4994">
        <v>0</v>
      </c>
      <c r="L4994">
        <v>337</v>
      </c>
    </row>
    <row r="4995" spans="1:12">
      <c r="A4995" s="183" t="s">
        <v>3647</v>
      </c>
      <c r="B4995" s="183" t="s">
        <v>3574</v>
      </c>
      <c r="C4995">
        <v>8800245474916</v>
      </c>
      <c r="D4995">
        <v>482</v>
      </c>
      <c r="E4995">
        <v>0</v>
      </c>
      <c r="F4995">
        <v>0</v>
      </c>
      <c r="G4995">
        <v>0</v>
      </c>
      <c r="H4995">
        <v>482</v>
      </c>
      <c r="I4995" s="183" t="s">
        <v>3575</v>
      </c>
      <c r="J4995" s="183" t="s">
        <v>12067</v>
      </c>
      <c r="K4995">
        <v>0</v>
      </c>
      <c r="L4995">
        <v>482</v>
      </c>
    </row>
    <row r="4996" spans="1:12">
      <c r="A4996" s="183" t="s">
        <v>3615</v>
      </c>
      <c r="B4996" s="183" t="s">
        <v>3574</v>
      </c>
      <c r="C4996">
        <v>8800245475050</v>
      </c>
      <c r="D4996">
        <v>329</v>
      </c>
      <c r="E4996">
        <v>0</v>
      </c>
      <c r="F4996">
        <v>0</v>
      </c>
      <c r="G4996">
        <v>0</v>
      </c>
      <c r="H4996">
        <v>329</v>
      </c>
      <c r="I4996" s="183" t="s">
        <v>3575</v>
      </c>
      <c r="J4996" s="183" t="s">
        <v>12092</v>
      </c>
      <c r="K4996">
        <v>0</v>
      </c>
      <c r="L4996">
        <v>329</v>
      </c>
    </row>
    <row r="4997" spans="1:12">
      <c r="A4997" s="183" t="s">
        <v>3592</v>
      </c>
      <c r="B4997" s="183" t="s">
        <v>3574</v>
      </c>
      <c r="C4997">
        <v>8800245475067</v>
      </c>
      <c r="D4997" s="501">
        <v>1537</v>
      </c>
      <c r="E4997">
        <v>0</v>
      </c>
      <c r="F4997">
        <v>0</v>
      </c>
      <c r="G4997">
        <v>0</v>
      </c>
      <c r="H4997" s="501">
        <v>1537</v>
      </c>
      <c r="I4997" s="183" t="s">
        <v>3575</v>
      </c>
      <c r="J4997" s="183" t="s">
        <v>12091</v>
      </c>
      <c r="K4997">
        <v>0</v>
      </c>
      <c r="L4997" s="501">
        <v>1537</v>
      </c>
    </row>
    <row r="4998" spans="1:12">
      <c r="A4998" s="183" t="s">
        <v>3653</v>
      </c>
      <c r="B4998" s="183" t="s">
        <v>3574</v>
      </c>
      <c r="C4998">
        <v>8800245475074</v>
      </c>
      <c r="D4998">
        <v>661</v>
      </c>
      <c r="E4998">
        <v>0</v>
      </c>
      <c r="F4998">
        <v>0</v>
      </c>
      <c r="G4998">
        <v>0</v>
      </c>
      <c r="H4998">
        <v>661</v>
      </c>
      <c r="I4998" s="183" t="s">
        <v>3575</v>
      </c>
      <c r="J4998" s="183" t="s">
        <v>12053</v>
      </c>
      <c r="K4998">
        <v>0</v>
      </c>
      <c r="L4998">
        <v>661</v>
      </c>
    </row>
    <row r="4999" spans="1:12">
      <c r="A4999" s="183" t="s">
        <v>3654</v>
      </c>
      <c r="B4999" s="183" t="s">
        <v>3574</v>
      </c>
      <c r="C4999">
        <v>8800245475081</v>
      </c>
      <c r="D4999">
        <v>160</v>
      </c>
      <c r="E4999">
        <v>0</v>
      </c>
      <c r="F4999">
        <v>0</v>
      </c>
      <c r="G4999">
        <v>0</v>
      </c>
      <c r="H4999">
        <v>160</v>
      </c>
      <c r="I4999" s="183" t="s">
        <v>3575</v>
      </c>
      <c r="J4999" s="183" t="s">
        <v>12054</v>
      </c>
      <c r="K4999">
        <v>0</v>
      </c>
      <c r="L4999">
        <v>160</v>
      </c>
    </row>
    <row r="5000" spans="1:12">
      <c r="A5000" s="183" t="s">
        <v>3641</v>
      </c>
      <c r="B5000" s="183" t="s">
        <v>3574</v>
      </c>
      <c r="C5000">
        <v>8800245475258</v>
      </c>
      <c r="D5000">
        <v>717</v>
      </c>
      <c r="E5000">
        <v>0</v>
      </c>
      <c r="F5000">
        <v>0</v>
      </c>
      <c r="G5000">
        <v>0</v>
      </c>
      <c r="H5000">
        <v>717</v>
      </c>
      <c r="I5000" s="183" t="s">
        <v>3575</v>
      </c>
      <c r="J5000" s="183" t="s">
        <v>12048</v>
      </c>
      <c r="K5000">
        <v>0</v>
      </c>
      <c r="L5000">
        <v>717</v>
      </c>
    </row>
    <row r="5001" spans="1:12">
      <c r="A5001" s="183" t="s">
        <v>3609</v>
      </c>
      <c r="B5001" s="183" t="s">
        <v>3574</v>
      </c>
      <c r="C5001">
        <v>8800245475302</v>
      </c>
      <c r="D5001">
        <v>702</v>
      </c>
      <c r="E5001">
        <v>0</v>
      </c>
      <c r="F5001">
        <v>0</v>
      </c>
      <c r="G5001">
        <v>0</v>
      </c>
      <c r="H5001">
        <v>702</v>
      </c>
      <c r="I5001" s="183" t="s">
        <v>3575</v>
      </c>
      <c r="J5001" s="183" t="s">
        <v>12093</v>
      </c>
      <c r="K5001">
        <v>0</v>
      </c>
      <c r="L5001">
        <v>702</v>
      </c>
    </row>
    <row r="5002" spans="1:12">
      <c r="A5002" s="183" t="s">
        <v>3632</v>
      </c>
      <c r="B5002" s="183" t="s">
        <v>3574</v>
      </c>
      <c r="C5002">
        <v>8800245475401</v>
      </c>
      <c r="D5002">
        <v>815</v>
      </c>
      <c r="E5002">
        <v>0</v>
      </c>
      <c r="F5002">
        <v>0</v>
      </c>
      <c r="G5002">
        <v>0</v>
      </c>
      <c r="H5002">
        <v>815</v>
      </c>
      <c r="I5002" s="183" t="s">
        <v>3575</v>
      </c>
      <c r="J5002" s="183" t="s">
        <v>12094</v>
      </c>
      <c r="K5002">
        <v>0</v>
      </c>
      <c r="L5002">
        <v>815</v>
      </c>
    </row>
    <row r="5003" spans="1:12">
      <c r="A5003" s="183" t="s">
        <v>3591</v>
      </c>
      <c r="B5003" s="183" t="s">
        <v>3574</v>
      </c>
      <c r="C5003">
        <v>8800245475456</v>
      </c>
      <c r="D5003">
        <v>456</v>
      </c>
      <c r="E5003">
        <v>0</v>
      </c>
      <c r="F5003">
        <v>0</v>
      </c>
      <c r="G5003">
        <v>0</v>
      </c>
      <c r="H5003">
        <v>456</v>
      </c>
      <c r="I5003" s="183" t="s">
        <v>3575</v>
      </c>
      <c r="J5003" s="183" t="s">
        <v>12094</v>
      </c>
      <c r="K5003">
        <v>0</v>
      </c>
      <c r="L5003">
        <v>456</v>
      </c>
    </row>
    <row r="5004" spans="1:12">
      <c r="A5004" s="183" t="s">
        <v>3620</v>
      </c>
      <c r="B5004" s="183" t="s">
        <v>3574</v>
      </c>
      <c r="C5004">
        <v>8800245475463</v>
      </c>
      <c r="D5004">
        <v>395</v>
      </c>
      <c r="E5004">
        <v>0</v>
      </c>
      <c r="F5004">
        <v>0</v>
      </c>
      <c r="G5004">
        <v>0</v>
      </c>
      <c r="H5004">
        <v>395</v>
      </c>
      <c r="I5004" s="183" t="s">
        <v>3575</v>
      </c>
      <c r="J5004" s="183" t="s">
        <v>12067</v>
      </c>
      <c r="K5004">
        <v>0</v>
      </c>
      <c r="L5004">
        <v>395</v>
      </c>
    </row>
    <row r="5005" spans="1:12">
      <c r="A5005" s="183" t="s">
        <v>2646</v>
      </c>
      <c r="B5005" s="183" t="s">
        <v>1330</v>
      </c>
      <c r="C5005">
        <v>15550204</v>
      </c>
      <c r="D5005">
        <v>89</v>
      </c>
      <c r="E5005">
        <v>0</v>
      </c>
      <c r="F5005">
        <v>0</v>
      </c>
      <c r="G5005">
        <v>0</v>
      </c>
      <c r="H5005">
        <v>89</v>
      </c>
      <c r="I5005" s="183" t="s">
        <v>1331</v>
      </c>
      <c r="J5005" s="183" t="s">
        <v>12093</v>
      </c>
      <c r="K5005">
        <v>0</v>
      </c>
      <c r="L5005">
        <v>89</v>
      </c>
    </row>
    <row r="5006" spans="1:12">
      <c r="A5006" s="183" t="s">
        <v>1775</v>
      </c>
      <c r="B5006" s="183" t="s">
        <v>1330</v>
      </c>
      <c r="C5006">
        <v>15550220</v>
      </c>
      <c r="D5006">
        <v>29</v>
      </c>
      <c r="E5006">
        <v>0</v>
      </c>
      <c r="F5006">
        <v>0</v>
      </c>
      <c r="G5006">
        <v>0</v>
      </c>
      <c r="H5006">
        <v>29</v>
      </c>
      <c r="I5006" s="183" t="s">
        <v>1331</v>
      </c>
      <c r="J5006" s="183" t="s">
        <v>12081</v>
      </c>
      <c r="K5006">
        <v>0</v>
      </c>
      <c r="L5006">
        <v>29</v>
      </c>
    </row>
    <row r="5007" spans="1:12">
      <c r="A5007" s="183" t="s">
        <v>6476</v>
      </c>
      <c r="B5007" s="183" t="s">
        <v>1458</v>
      </c>
      <c r="C5007">
        <v>15560200</v>
      </c>
      <c r="D5007">
        <v>72</v>
      </c>
      <c r="E5007">
        <v>0</v>
      </c>
      <c r="F5007">
        <v>0</v>
      </c>
      <c r="G5007">
        <v>0</v>
      </c>
      <c r="H5007">
        <v>72</v>
      </c>
      <c r="I5007" s="183" t="s">
        <v>1459</v>
      </c>
      <c r="J5007" s="183" t="s">
        <v>12087</v>
      </c>
      <c r="K5007">
        <v>0</v>
      </c>
      <c r="L5007">
        <v>72</v>
      </c>
    </row>
    <row r="5008" spans="1:12">
      <c r="A5008" s="183" t="s">
        <v>2631</v>
      </c>
      <c r="B5008" s="183" t="s">
        <v>1458</v>
      </c>
      <c r="C5008">
        <v>15560207</v>
      </c>
      <c r="D5008">
        <v>12</v>
      </c>
      <c r="E5008">
        <v>0</v>
      </c>
      <c r="F5008">
        <v>0</v>
      </c>
      <c r="G5008">
        <v>0</v>
      </c>
      <c r="H5008">
        <v>12</v>
      </c>
      <c r="I5008" s="183" t="s">
        <v>1459</v>
      </c>
      <c r="J5008" s="183" t="s">
        <v>12081</v>
      </c>
      <c r="K5008">
        <v>0</v>
      </c>
      <c r="L5008">
        <v>12</v>
      </c>
    </row>
    <row r="5009" spans="1:12">
      <c r="A5009" s="183" t="s">
        <v>2413</v>
      </c>
      <c r="B5009" s="183" t="s">
        <v>1458</v>
      </c>
      <c r="C5009">
        <v>15560222</v>
      </c>
      <c r="D5009">
        <v>88</v>
      </c>
      <c r="E5009">
        <v>0</v>
      </c>
      <c r="F5009">
        <v>0</v>
      </c>
      <c r="G5009">
        <v>0</v>
      </c>
      <c r="H5009">
        <v>88</v>
      </c>
      <c r="I5009" s="183" t="s">
        <v>1459</v>
      </c>
      <c r="J5009" s="183" t="s">
        <v>12053</v>
      </c>
      <c r="K5009">
        <v>0</v>
      </c>
      <c r="L5009">
        <v>88</v>
      </c>
    </row>
    <row r="5010" spans="1:12">
      <c r="A5010" s="183" t="s">
        <v>2268</v>
      </c>
      <c r="B5010" s="183" t="s">
        <v>1341</v>
      </c>
      <c r="C5010">
        <v>15570220</v>
      </c>
      <c r="D5010">
        <v>102</v>
      </c>
      <c r="E5010">
        <v>0</v>
      </c>
      <c r="F5010">
        <v>0</v>
      </c>
      <c r="G5010">
        <v>0</v>
      </c>
      <c r="H5010">
        <v>102</v>
      </c>
      <c r="I5010" s="183" t="s">
        <v>1342</v>
      </c>
      <c r="J5010" s="183" t="s">
        <v>12091</v>
      </c>
      <c r="K5010">
        <v>0</v>
      </c>
      <c r="L5010">
        <v>102</v>
      </c>
    </row>
    <row r="5011" spans="1:12">
      <c r="A5011" s="183" t="s">
        <v>1437</v>
      </c>
      <c r="B5011" s="183" t="s">
        <v>1341</v>
      </c>
      <c r="C5011">
        <v>15570226</v>
      </c>
      <c r="D5011">
        <v>99</v>
      </c>
      <c r="E5011">
        <v>0</v>
      </c>
      <c r="F5011">
        <v>0</v>
      </c>
      <c r="G5011">
        <v>0</v>
      </c>
      <c r="H5011">
        <v>99</v>
      </c>
      <c r="I5011" s="183" t="s">
        <v>1342</v>
      </c>
      <c r="J5011" s="183" t="s">
        <v>12067</v>
      </c>
      <c r="K5011">
        <v>0</v>
      </c>
      <c r="L5011">
        <v>99</v>
      </c>
    </row>
    <row r="5012" spans="1:12">
      <c r="A5012" s="183" t="s">
        <v>2106</v>
      </c>
      <c r="B5012" s="183" t="s">
        <v>1341</v>
      </c>
      <c r="C5012">
        <v>15570228</v>
      </c>
      <c r="D5012">
        <v>122</v>
      </c>
      <c r="E5012">
        <v>0</v>
      </c>
      <c r="F5012">
        <v>0</v>
      </c>
      <c r="G5012">
        <v>0</v>
      </c>
      <c r="H5012">
        <v>122</v>
      </c>
      <c r="I5012" s="183" t="s">
        <v>1342</v>
      </c>
      <c r="J5012" s="183" t="s">
        <v>12060</v>
      </c>
      <c r="K5012">
        <v>0</v>
      </c>
      <c r="L5012">
        <v>122</v>
      </c>
    </row>
    <row r="5013" spans="1:12">
      <c r="A5013" s="183" t="s">
        <v>1769</v>
      </c>
      <c r="B5013" s="183" t="s">
        <v>1341</v>
      </c>
      <c r="C5013">
        <v>15570232</v>
      </c>
      <c r="D5013">
        <v>118</v>
      </c>
      <c r="E5013">
        <v>0</v>
      </c>
      <c r="F5013">
        <v>0</v>
      </c>
      <c r="G5013">
        <v>0</v>
      </c>
      <c r="H5013">
        <v>118</v>
      </c>
      <c r="I5013" s="183" t="s">
        <v>1342</v>
      </c>
      <c r="J5013" s="183" t="s">
        <v>12081</v>
      </c>
      <c r="K5013">
        <v>0</v>
      </c>
      <c r="L5013">
        <v>118</v>
      </c>
    </row>
    <row r="5014" spans="1:12">
      <c r="A5014" s="183" t="s">
        <v>2648</v>
      </c>
      <c r="B5014" s="183" t="s">
        <v>1371</v>
      </c>
      <c r="C5014">
        <v>17120205</v>
      </c>
      <c r="D5014">
        <v>179</v>
      </c>
      <c r="E5014">
        <v>0</v>
      </c>
      <c r="F5014">
        <v>0</v>
      </c>
      <c r="G5014">
        <v>0</v>
      </c>
      <c r="H5014">
        <v>179</v>
      </c>
      <c r="I5014" s="183" t="s">
        <v>1372</v>
      </c>
      <c r="J5014" s="183" t="s">
        <v>12095</v>
      </c>
      <c r="K5014">
        <v>0</v>
      </c>
      <c r="L5014">
        <v>179</v>
      </c>
    </row>
    <row r="5015" spans="1:12">
      <c r="A5015" s="183" t="s">
        <v>1772</v>
      </c>
      <c r="B5015" s="183" t="s">
        <v>1371</v>
      </c>
      <c r="C5015">
        <v>17120212</v>
      </c>
      <c r="D5015">
        <v>147</v>
      </c>
      <c r="E5015">
        <v>0</v>
      </c>
      <c r="F5015">
        <v>0</v>
      </c>
      <c r="G5015">
        <v>0</v>
      </c>
      <c r="H5015">
        <v>147</v>
      </c>
      <c r="I5015" s="183" t="s">
        <v>1372</v>
      </c>
      <c r="J5015" s="183" t="s">
        <v>12081</v>
      </c>
      <c r="K5015">
        <v>0</v>
      </c>
      <c r="L5015">
        <v>147</v>
      </c>
    </row>
    <row r="5016" spans="1:12">
      <c r="A5016" s="183" t="s">
        <v>2399</v>
      </c>
      <c r="B5016" s="183" t="s">
        <v>1371</v>
      </c>
      <c r="C5016">
        <v>17120213</v>
      </c>
      <c r="D5016">
        <v>178</v>
      </c>
      <c r="E5016">
        <v>0</v>
      </c>
      <c r="F5016">
        <v>0</v>
      </c>
      <c r="G5016">
        <v>0</v>
      </c>
      <c r="H5016">
        <v>178</v>
      </c>
      <c r="I5016" s="183" t="s">
        <v>1372</v>
      </c>
      <c r="J5016" s="183" t="s">
        <v>12093</v>
      </c>
      <c r="K5016">
        <v>0</v>
      </c>
      <c r="L5016">
        <v>178</v>
      </c>
    </row>
    <row r="5017" spans="1:12">
      <c r="A5017" s="183" t="s">
        <v>2273</v>
      </c>
      <c r="B5017" s="183" t="s">
        <v>1550</v>
      </c>
      <c r="C5017">
        <v>17130202</v>
      </c>
      <c r="D5017">
        <v>224</v>
      </c>
      <c r="E5017">
        <v>0</v>
      </c>
      <c r="F5017">
        <v>0</v>
      </c>
      <c r="G5017">
        <v>0</v>
      </c>
      <c r="H5017">
        <v>224</v>
      </c>
      <c r="I5017" s="183" t="s">
        <v>1551</v>
      </c>
      <c r="J5017" s="183" t="s">
        <v>12066</v>
      </c>
      <c r="K5017">
        <v>0</v>
      </c>
      <c r="L5017">
        <v>224</v>
      </c>
    </row>
    <row r="5018" spans="1:12">
      <c r="A5018" s="183" t="s">
        <v>2266</v>
      </c>
      <c r="B5018" s="183" t="s">
        <v>1550</v>
      </c>
      <c r="C5018">
        <v>17130209</v>
      </c>
      <c r="D5018">
        <v>104</v>
      </c>
      <c r="E5018">
        <v>0</v>
      </c>
      <c r="F5018">
        <v>0</v>
      </c>
      <c r="G5018">
        <v>0</v>
      </c>
      <c r="H5018">
        <v>104</v>
      </c>
      <c r="I5018" s="183" t="s">
        <v>1551</v>
      </c>
      <c r="J5018" s="183" t="s">
        <v>12087</v>
      </c>
      <c r="K5018">
        <v>0</v>
      </c>
      <c r="L5018">
        <v>104</v>
      </c>
    </row>
    <row r="5019" spans="1:12">
      <c r="A5019" s="183" t="s">
        <v>2412</v>
      </c>
      <c r="B5019" s="183" t="s">
        <v>1550</v>
      </c>
      <c r="C5019">
        <v>17130224</v>
      </c>
      <c r="D5019">
        <v>137</v>
      </c>
      <c r="E5019">
        <v>0</v>
      </c>
      <c r="F5019">
        <v>0</v>
      </c>
      <c r="G5019">
        <v>0</v>
      </c>
      <c r="H5019">
        <v>137</v>
      </c>
      <c r="I5019" s="183" t="s">
        <v>1551</v>
      </c>
      <c r="J5019" s="183" t="s">
        <v>12048</v>
      </c>
      <c r="K5019">
        <v>0</v>
      </c>
      <c r="L5019">
        <v>137</v>
      </c>
    </row>
    <row r="5020" spans="1:12">
      <c r="A5020" s="183" t="s">
        <v>1960</v>
      </c>
      <c r="B5020" s="183" t="s">
        <v>1550</v>
      </c>
      <c r="C5020">
        <v>17130228</v>
      </c>
      <c r="D5020">
        <v>192</v>
      </c>
      <c r="E5020">
        <v>0</v>
      </c>
      <c r="F5020">
        <v>0</v>
      </c>
      <c r="G5020">
        <v>0</v>
      </c>
      <c r="H5020">
        <v>192</v>
      </c>
      <c r="I5020" s="183" t="s">
        <v>1551</v>
      </c>
      <c r="J5020" s="183" t="s">
        <v>12094</v>
      </c>
      <c r="K5020">
        <v>0</v>
      </c>
      <c r="L5020">
        <v>192</v>
      </c>
    </row>
    <row r="5021" spans="1:12">
      <c r="A5021" s="183" t="s">
        <v>6443</v>
      </c>
      <c r="B5021" s="183" t="s">
        <v>1411</v>
      </c>
      <c r="C5021">
        <v>17140200</v>
      </c>
      <c r="D5021">
        <v>110</v>
      </c>
      <c r="E5021">
        <v>0</v>
      </c>
      <c r="F5021">
        <v>0</v>
      </c>
      <c r="G5021">
        <v>0</v>
      </c>
      <c r="H5021">
        <v>110</v>
      </c>
      <c r="I5021" s="183" t="s">
        <v>1412</v>
      </c>
      <c r="J5021" s="183" t="s">
        <v>12048</v>
      </c>
      <c r="K5021">
        <v>0</v>
      </c>
      <c r="L5021">
        <v>110</v>
      </c>
    </row>
    <row r="5022" spans="1:12">
      <c r="A5022" s="183" t="s">
        <v>2096</v>
      </c>
      <c r="B5022" s="183" t="s">
        <v>1411</v>
      </c>
      <c r="C5022">
        <v>17140211</v>
      </c>
      <c r="D5022">
        <v>69</v>
      </c>
      <c r="E5022">
        <v>0</v>
      </c>
      <c r="F5022">
        <v>0</v>
      </c>
      <c r="G5022">
        <v>0</v>
      </c>
      <c r="H5022">
        <v>69</v>
      </c>
      <c r="I5022" s="183" t="s">
        <v>1412</v>
      </c>
      <c r="J5022" s="183" t="s">
        <v>12085</v>
      </c>
      <c r="K5022">
        <v>0</v>
      </c>
      <c r="L5022">
        <v>69</v>
      </c>
    </row>
    <row r="5023" spans="1:12">
      <c r="A5023" s="183" t="s">
        <v>633</v>
      </c>
      <c r="B5023" s="183" t="s">
        <v>1026</v>
      </c>
      <c r="C5023">
        <v>8806392047096</v>
      </c>
      <c r="D5023" s="501">
        <v>1585</v>
      </c>
      <c r="E5023">
        <v>0</v>
      </c>
      <c r="F5023">
        <v>0</v>
      </c>
      <c r="G5023">
        <v>0</v>
      </c>
      <c r="H5023" s="501">
        <v>1585</v>
      </c>
      <c r="I5023" s="183" t="s">
        <v>1027</v>
      </c>
      <c r="J5023" s="183" t="s">
        <v>12091</v>
      </c>
      <c r="K5023">
        <v>0</v>
      </c>
      <c r="L5023" s="501">
        <v>1585</v>
      </c>
    </row>
    <row r="5024" spans="1:12">
      <c r="A5024" s="183" t="s">
        <v>3787</v>
      </c>
      <c r="B5024" s="183" t="s">
        <v>1026</v>
      </c>
      <c r="C5024">
        <v>8806392047287</v>
      </c>
      <c r="D5024">
        <v>601</v>
      </c>
      <c r="E5024">
        <v>0</v>
      </c>
      <c r="F5024">
        <v>0</v>
      </c>
      <c r="G5024">
        <v>0</v>
      </c>
      <c r="H5024">
        <v>601</v>
      </c>
      <c r="I5024" s="183" t="s">
        <v>1027</v>
      </c>
      <c r="J5024" s="183" t="s">
        <v>12093</v>
      </c>
      <c r="K5024">
        <v>0</v>
      </c>
      <c r="L5024">
        <v>601</v>
      </c>
    </row>
    <row r="5025" spans="1:12">
      <c r="A5025" s="183" t="s">
        <v>1496</v>
      </c>
      <c r="B5025" s="183" t="s">
        <v>1455</v>
      </c>
      <c r="C5025">
        <v>8809867707747</v>
      </c>
      <c r="D5025">
        <v>865</v>
      </c>
      <c r="E5025">
        <v>0</v>
      </c>
      <c r="F5025">
        <v>0</v>
      </c>
      <c r="G5025">
        <v>0</v>
      </c>
      <c r="H5025">
        <v>865</v>
      </c>
      <c r="I5025" s="183" t="s">
        <v>1456</v>
      </c>
      <c r="J5025" s="183" t="s">
        <v>12063</v>
      </c>
      <c r="K5025">
        <v>0</v>
      </c>
      <c r="L5025">
        <v>865</v>
      </c>
    </row>
    <row r="5026" spans="1:12">
      <c r="A5026" s="183" t="s">
        <v>2304</v>
      </c>
      <c r="B5026" s="183" t="s">
        <v>1455</v>
      </c>
      <c r="C5026">
        <v>8809867707846</v>
      </c>
      <c r="D5026">
        <v>445</v>
      </c>
      <c r="E5026">
        <v>0</v>
      </c>
      <c r="F5026">
        <v>0</v>
      </c>
      <c r="G5026">
        <v>0</v>
      </c>
      <c r="H5026">
        <v>445</v>
      </c>
      <c r="I5026" s="183" t="s">
        <v>1456</v>
      </c>
      <c r="J5026" s="183" t="s">
        <v>12094</v>
      </c>
      <c r="K5026">
        <v>0</v>
      </c>
      <c r="L5026">
        <v>445</v>
      </c>
    </row>
    <row r="5027" spans="1:12">
      <c r="A5027" s="183" t="s">
        <v>6298</v>
      </c>
      <c r="B5027" s="183" t="s">
        <v>1069</v>
      </c>
      <c r="C5027">
        <v>8806392047706</v>
      </c>
      <c r="D5027">
        <v>507</v>
      </c>
      <c r="E5027">
        <v>0</v>
      </c>
      <c r="F5027">
        <v>0</v>
      </c>
      <c r="G5027">
        <v>0</v>
      </c>
      <c r="H5027">
        <v>507</v>
      </c>
      <c r="I5027" s="183" t="s">
        <v>1070</v>
      </c>
      <c r="J5027" s="183" t="s">
        <v>12087</v>
      </c>
      <c r="K5027">
        <v>0</v>
      </c>
      <c r="L5027">
        <v>507</v>
      </c>
    </row>
    <row r="5028" spans="1:12">
      <c r="A5028" s="183" t="s">
        <v>3061</v>
      </c>
      <c r="B5028" s="183" t="s">
        <v>1069</v>
      </c>
      <c r="C5028">
        <v>8806392047768</v>
      </c>
      <c r="D5028">
        <v>769</v>
      </c>
      <c r="E5028">
        <v>0</v>
      </c>
      <c r="F5028">
        <v>0</v>
      </c>
      <c r="G5028">
        <v>0</v>
      </c>
      <c r="H5028">
        <v>769</v>
      </c>
      <c r="I5028" s="183" t="s">
        <v>1070</v>
      </c>
      <c r="J5028" s="183" t="s">
        <v>12095</v>
      </c>
      <c r="K5028">
        <v>0</v>
      </c>
      <c r="L5028">
        <v>769</v>
      </c>
    </row>
    <row r="5029" spans="1:12">
      <c r="A5029" s="183" t="s">
        <v>3156</v>
      </c>
      <c r="B5029" s="183" t="s">
        <v>1069</v>
      </c>
      <c r="C5029">
        <v>8806392047775</v>
      </c>
      <c r="D5029">
        <v>410</v>
      </c>
      <c r="E5029">
        <v>0</v>
      </c>
      <c r="F5029">
        <v>0</v>
      </c>
      <c r="G5029">
        <v>0</v>
      </c>
      <c r="H5029">
        <v>410</v>
      </c>
      <c r="I5029" s="183" t="s">
        <v>1070</v>
      </c>
      <c r="J5029" s="183" t="s">
        <v>12087</v>
      </c>
      <c r="K5029">
        <v>0</v>
      </c>
      <c r="L5029">
        <v>410</v>
      </c>
    </row>
    <row r="5030" spans="1:12">
      <c r="A5030" s="183" t="s">
        <v>649</v>
      </c>
      <c r="B5030" s="183" t="s">
        <v>1069</v>
      </c>
      <c r="C5030">
        <v>8806392047782</v>
      </c>
      <c r="D5030">
        <v>634</v>
      </c>
      <c r="E5030">
        <v>0</v>
      </c>
      <c r="F5030">
        <v>0</v>
      </c>
      <c r="G5030">
        <v>0</v>
      </c>
      <c r="H5030">
        <v>634</v>
      </c>
      <c r="I5030" s="183" t="s">
        <v>1070</v>
      </c>
      <c r="J5030" s="183" t="s">
        <v>12093</v>
      </c>
      <c r="K5030">
        <v>0</v>
      </c>
      <c r="L5030">
        <v>634</v>
      </c>
    </row>
    <row r="5031" spans="1:12">
      <c r="A5031" s="183" t="s">
        <v>653</v>
      </c>
      <c r="B5031" s="183" t="s">
        <v>1069</v>
      </c>
      <c r="C5031">
        <v>8806392047874</v>
      </c>
      <c r="D5031" s="501">
        <v>1513</v>
      </c>
      <c r="E5031">
        <v>0</v>
      </c>
      <c r="F5031">
        <v>0</v>
      </c>
      <c r="G5031">
        <v>0</v>
      </c>
      <c r="H5031" s="501">
        <v>1513</v>
      </c>
      <c r="I5031" s="183" t="s">
        <v>1070</v>
      </c>
      <c r="J5031" s="183" t="s">
        <v>12091</v>
      </c>
      <c r="K5031">
        <v>0</v>
      </c>
      <c r="L5031" s="501">
        <v>1513</v>
      </c>
    </row>
    <row r="5032" spans="1:12">
      <c r="A5032" s="183" t="s">
        <v>656</v>
      </c>
      <c r="B5032" s="183" t="s">
        <v>1069</v>
      </c>
      <c r="C5032">
        <v>8806392047928</v>
      </c>
      <c r="D5032" s="501">
        <v>1139</v>
      </c>
      <c r="E5032">
        <v>0</v>
      </c>
      <c r="F5032">
        <v>0</v>
      </c>
      <c r="G5032">
        <v>0</v>
      </c>
      <c r="H5032" s="501">
        <v>1139</v>
      </c>
      <c r="I5032" s="183" t="s">
        <v>1070</v>
      </c>
      <c r="J5032" s="183" t="s">
        <v>12093</v>
      </c>
      <c r="K5032">
        <v>0</v>
      </c>
      <c r="L5032" s="501">
        <v>1139</v>
      </c>
    </row>
    <row r="5033" spans="1:12">
      <c r="A5033" s="183" t="s">
        <v>2992</v>
      </c>
      <c r="B5033" s="183" t="s">
        <v>1069</v>
      </c>
      <c r="C5033">
        <v>8806392047935</v>
      </c>
      <c r="D5033" s="501">
        <v>1779</v>
      </c>
      <c r="E5033">
        <v>0</v>
      </c>
      <c r="F5033">
        <v>0</v>
      </c>
      <c r="G5033">
        <v>0</v>
      </c>
      <c r="H5033" s="501">
        <v>1779</v>
      </c>
      <c r="I5033" s="183" t="s">
        <v>1070</v>
      </c>
      <c r="J5033" s="183" t="s">
        <v>12093</v>
      </c>
      <c r="K5033">
        <v>0</v>
      </c>
      <c r="L5033" s="501">
        <v>1779</v>
      </c>
    </row>
    <row r="5034" spans="1:12">
      <c r="A5034" s="183" t="s">
        <v>658</v>
      </c>
      <c r="B5034" s="183" t="s">
        <v>1069</v>
      </c>
      <c r="C5034">
        <v>8806392047959</v>
      </c>
      <c r="D5034" s="501">
        <v>1469</v>
      </c>
      <c r="E5034">
        <v>0</v>
      </c>
      <c r="F5034">
        <v>0</v>
      </c>
      <c r="G5034">
        <v>0</v>
      </c>
      <c r="H5034" s="501">
        <v>1469</v>
      </c>
      <c r="I5034" s="183" t="s">
        <v>1070</v>
      </c>
      <c r="J5034" s="183" t="s">
        <v>12091</v>
      </c>
      <c r="K5034">
        <v>0</v>
      </c>
      <c r="L5034" s="501">
        <v>1469</v>
      </c>
    </row>
    <row r="5035" spans="1:12">
      <c r="A5035" s="183" t="s">
        <v>659</v>
      </c>
      <c r="B5035" s="183" t="s">
        <v>1069</v>
      </c>
      <c r="C5035">
        <v>8806392047966</v>
      </c>
      <c r="D5035" s="501">
        <v>2032</v>
      </c>
      <c r="E5035">
        <v>0</v>
      </c>
      <c r="F5035">
        <v>0</v>
      </c>
      <c r="G5035">
        <v>0</v>
      </c>
      <c r="H5035" s="501">
        <v>2032</v>
      </c>
      <c r="I5035" s="183" t="s">
        <v>1070</v>
      </c>
      <c r="J5035" s="183" t="s">
        <v>12087</v>
      </c>
      <c r="K5035">
        <v>0</v>
      </c>
      <c r="L5035" s="501">
        <v>2032</v>
      </c>
    </row>
    <row r="5036" spans="1:12">
      <c r="A5036" s="183" t="s">
        <v>2986</v>
      </c>
      <c r="B5036" s="183" t="s">
        <v>993</v>
      </c>
      <c r="C5036">
        <v>8806392049670</v>
      </c>
      <c r="D5036" s="501">
        <v>1005</v>
      </c>
      <c r="E5036">
        <v>0</v>
      </c>
      <c r="F5036">
        <v>0</v>
      </c>
      <c r="G5036">
        <v>0</v>
      </c>
      <c r="H5036" s="501">
        <v>1005</v>
      </c>
      <c r="I5036" s="183" t="s">
        <v>994</v>
      </c>
      <c r="J5036" s="183" t="s">
        <v>12091</v>
      </c>
      <c r="K5036">
        <v>0</v>
      </c>
      <c r="L5036" s="501">
        <v>1005</v>
      </c>
    </row>
    <row r="5037" spans="1:12">
      <c r="A5037" s="183" t="s">
        <v>768</v>
      </c>
      <c r="B5037" s="183" t="s">
        <v>993</v>
      </c>
      <c r="C5037">
        <v>8806392049724</v>
      </c>
      <c r="D5037">
        <v>892</v>
      </c>
      <c r="E5037">
        <v>0</v>
      </c>
      <c r="F5037">
        <v>0</v>
      </c>
      <c r="G5037">
        <v>0</v>
      </c>
      <c r="H5037">
        <v>892</v>
      </c>
      <c r="I5037" s="183" t="s">
        <v>994</v>
      </c>
      <c r="J5037" s="183" t="s">
        <v>12093</v>
      </c>
      <c r="K5037">
        <v>0</v>
      </c>
      <c r="L5037">
        <v>892</v>
      </c>
    </row>
    <row r="5038" spans="1:12">
      <c r="A5038" s="183" t="s">
        <v>2985</v>
      </c>
      <c r="B5038" s="183" t="s">
        <v>993</v>
      </c>
      <c r="C5038">
        <v>8806392049755</v>
      </c>
      <c r="D5038">
        <v>562</v>
      </c>
      <c r="E5038">
        <v>0</v>
      </c>
      <c r="F5038">
        <v>0</v>
      </c>
      <c r="G5038">
        <v>0</v>
      </c>
      <c r="H5038">
        <v>562</v>
      </c>
      <c r="I5038" s="183" t="s">
        <v>994</v>
      </c>
      <c r="J5038" s="183" t="s">
        <v>12053</v>
      </c>
      <c r="K5038">
        <v>0</v>
      </c>
      <c r="L5038">
        <v>562</v>
      </c>
    </row>
    <row r="5039" spans="1:12">
      <c r="A5039" s="183" t="s">
        <v>769</v>
      </c>
      <c r="B5039" s="183" t="s">
        <v>993</v>
      </c>
      <c r="C5039">
        <v>8806392049793</v>
      </c>
      <c r="D5039">
        <v>814</v>
      </c>
      <c r="E5039">
        <v>0</v>
      </c>
      <c r="F5039">
        <v>0</v>
      </c>
      <c r="G5039">
        <v>0</v>
      </c>
      <c r="H5039">
        <v>814</v>
      </c>
      <c r="I5039" s="183" t="s">
        <v>994</v>
      </c>
      <c r="J5039" s="183" t="s">
        <v>12094</v>
      </c>
      <c r="K5039">
        <v>0</v>
      </c>
      <c r="L5039">
        <v>814</v>
      </c>
    </row>
    <row r="5040" spans="1:12">
      <c r="A5040" s="183" t="s">
        <v>2984</v>
      </c>
      <c r="B5040" s="183" t="s">
        <v>993</v>
      </c>
      <c r="C5040">
        <v>8806392049830</v>
      </c>
      <c r="D5040">
        <v>401</v>
      </c>
      <c r="E5040">
        <v>0</v>
      </c>
      <c r="F5040">
        <v>0</v>
      </c>
      <c r="G5040">
        <v>0</v>
      </c>
      <c r="H5040">
        <v>401</v>
      </c>
      <c r="I5040" s="183" t="s">
        <v>994</v>
      </c>
      <c r="J5040" s="183" t="s">
        <v>12053</v>
      </c>
      <c r="K5040">
        <v>0</v>
      </c>
      <c r="L5040">
        <v>401</v>
      </c>
    </row>
    <row r="5041" spans="1:12">
      <c r="A5041" s="183" t="s">
        <v>770</v>
      </c>
      <c r="B5041" s="183" t="s">
        <v>993</v>
      </c>
      <c r="C5041">
        <v>8806392049908</v>
      </c>
      <c r="D5041" s="501">
        <v>2223</v>
      </c>
      <c r="E5041">
        <v>0</v>
      </c>
      <c r="F5041">
        <v>0</v>
      </c>
      <c r="G5041">
        <v>0</v>
      </c>
      <c r="H5041" s="501">
        <v>2223</v>
      </c>
      <c r="I5041" s="183" t="s">
        <v>994</v>
      </c>
      <c r="J5041" s="183" t="s">
        <v>12067</v>
      </c>
      <c r="K5041">
        <v>0</v>
      </c>
      <c r="L5041" s="501">
        <v>2223</v>
      </c>
    </row>
    <row r="5042" spans="1:12">
      <c r="A5042" s="183" t="s">
        <v>666</v>
      </c>
      <c r="B5042" s="183" t="s">
        <v>1310</v>
      </c>
      <c r="C5042">
        <v>8800143693129</v>
      </c>
      <c r="D5042" s="501">
        <v>3008</v>
      </c>
      <c r="E5042">
        <v>0</v>
      </c>
      <c r="F5042">
        <v>0</v>
      </c>
      <c r="G5042">
        <v>0</v>
      </c>
      <c r="H5042" s="501">
        <v>3008</v>
      </c>
      <c r="I5042" s="183" t="s">
        <v>1023</v>
      </c>
      <c r="J5042" s="183" t="s">
        <v>12048</v>
      </c>
      <c r="K5042">
        <v>0</v>
      </c>
      <c r="L5042" s="501">
        <v>3008</v>
      </c>
    </row>
    <row r="5043" spans="1:12">
      <c r="A5043" s="183" t="s">
        <v>679</v>
      </c>
      <c r="B5043" s="183" t="s">
        <v>1120</v>
      </c>
      <c r="C5043">
        <v>8800143693396</v>
      </c>
      <c r="D5043" s="501">
        <v>1228</v>
      </c>
      <c r="E5043">
        <v>0</v>
      </c>
      <c r="F5043">
        <v>0</v>
      </c>
      <c r="G5043">
        <v>0</v>
      </c>
      <c r="H5043" s="501">
        <v>1228</v>
      </c>
      <c r="I5043" s="183" t="s">
        <v>1023</v>
      </c>
      <c r="J5043" s="183" t="s">
        <v>12092</v>
      </c>
      <c r="K5043">
        <v>0</v>
      </c>
      <c r="L5043" s="501">
        <v>1228</v>
      </c>
    </row>
    <row r="5044" spans="1:12">
      <c r="A5044" s="183" t="s">
        <v>680</v>
      </c>
      <c r="B5044" s="183" t="s">
        <v>1220</v>
      </c>
      <c r="C5044">
        <v>8800143693402</v>
      </c>
      <c r="D5044">
        <v>978</v>
      </c>
      <c r="E5044">
        <v>0</v>
      </c>
      <c r="F5044">
        <v>0</v>
      </c>
      <c r="G5044">
        <v>0</v>
      </c>
      <c r="H5044">
        <v>978</v>
      </c>
      <c r="I5044" s="183" t="s">
        <v>1023</v>
      </c>
      <c r="J5044" s="183" t="s">
        <v>12092</v>
      </c>
      <c r="K5044">
        <v>0</v>
      </c>
      <c r="L5044">
        <v>978</v>
      </c>
    </row>
    <row r="5045" spans="1:12">
      <c r="A5045" s="183" t="s">
        <v>3468</v>
      </c>
      <c r="B5045" s="183" t="s">
        <v>3466</v>
      </c>
      <c r="C5045">
        <v>8809986728302</v>
      </c>
      <c r="D5045">
        <v>718</v>
      </c>
      <c r="E5045">
        <v>0</v>
      </c>
      <c r="F5045">
        <v>0</v>
      </c>
      <c r="G5045">
        <v>0</v>
      </c>
      <c r="H5045">
        <v>718</v>
      </c>
      <c r="I5045" s="183" t="s">
        <v>3443</v>
      </c>
      <c r="J5045" s="183" t="s">
        <v>12067</v>
      </c>
      <c r="K5045">
        <v>0</v>
      </c>
      <c r="L5045">
        <v>718</v>
      </c>
    </row>
    <row r="5046" spans="1:12">
      <c r="A5046" s="183" t="s">
        <v>3489</v>
      </c>
      <c r="B5046" s="183" t="s">
        <v>3451</v>
      </c>
      <c r="C5046">
        <v>8809986728364</v>
      </c>
      <c r="D5046">
        <v>516</v>
      </c>
      <c r="E5046">
        <v>0</v>
      </c>
      <c r="F5046">
        <v>0</v>
      </c>
      <c r="G5046">
        <v>0</v>
      </c>
      <c r="H5046">
        <v>516</v>
      </c>
      <c r="I5046" s="183" t="s">
        <v>3443</v>
      </c>
      <c r="J5046" s="183" t="s">
        <v>12087</v>
      </c>
      <c r="K5046">
        <v>0</v>
      </c>
      <c r="L5046">
        <v>516</v>
      </c>
    </row>
    <row r="5047" spans="1:12">
      <c r="A5047" s="183" t="s">
        <v>3464</v>
      </c>
      <c r="B5047" s="183" t="s">
        <v>3458</v>
      </c>
      <c r="C5047">
        <v>8809986728395</v>
      </c>
      <c r="D5047">
        <v>488</v>
      </c>
      <c r="E5047">
        <v>0</v>
      </c>
      <c r="F5047">
        <v>0</v>
      </c>
      <c r="G5047">
        <v>0</v>
      </c>
      <c r="H5047">
        <v>488</v>
      </c>
      <c r="I5047" s="183" t="s">
        <v>3443</v>
      </c>
      <c r="J5047" s="183" t="s">
        <v>12093</v>
      </c>
      <c r="K5047">
        <v>0</v>
      </c>
      <c r="L5047">
        <v>488</v>
      </c>
    </row>
    <row r="5048" spans="1:12">
      <c r="A5048" s="183" t="s">
        <v>3473</v>
      </c>
      <c r="B5048" s="183" t="s">
        <v>3474</v>
      </c>
      <c r="C5048">
        <v>8809986728531</v>
      </c>
      <c r="D5048">
        <v>360</v>
      </c>
      <c r="E5048">
        <v>0</v>
      </c>
      <c r="F5048">
        <v>0</v>
      </c>
      <c r="G5048">
        <v>0</v>
      </c>
      <c r="H5048">
        <v>360</v>
      </c>
      <c r="I5048" s="183" t="s">
        <v>3443</v>
      </c>
      <c r="J5048" s="183" t="s">
        <v>12093</v>
      </c>
      <c r="K5048">
        <v>0</v>
      </c>
      <c r="L5048">
        <v>360</v>
      </c>
    </row>
    <row r="5049" spans="1:12">
      <c r="A5049" s="183" t="s">
        <v>3890</v>
      </c>
      <c r="B5049" s="183" t="s">
        <v>3891</v>
      </c>
      <c r="C5049">
        <v>8809986728715</v>
      </c>
      <c r="D5049">
        <v>352</v>
      </c>
      <c r="E5049">
        <v>0</v>
      </c>
      <c r="F5049">
        <v>0</v>
      </c>
      <c r="G5049">
        <v>0</v>
      </c>
      <c r="H5049">
        <v>352</v>
      </c>
      <c r="I5049" s="183" t="s">
        <v>3878</v>
      </c>
      <c r="J5049" s="183" t="s">
        <v>12092</v>
      </c>
      <c r="K5049">
        <v>0</v>
      </c>
      <c r="L5049">
        <v>352</v>
      </c>
    </row>
    <row r="5050" spans="1:12">
      <c r="A5050" s="183" t="s">
        <v>3905</v>
      </c>
      <c r="B5050" s="183" t="s">
        <v>3901</v>
      </c>
      <c r="C5050">
        <v>8809986728821</v>
      </c>
      <c r="D5050">
        <v>332</v>
      </c>
      <c r="E5050">
        <v>0</v>
      </c>
      <c r="F5050">
        <v>0</v>
      </c>
      <c r="G5050">
        <v>0</v>
      </c>
      <c r="H5050">
        <v>332</v>
      </c>
      <c r="I5050" s="183" t="s">
        <v>3878</v>
      </c>
      <c r="J5050" s="183" t="s">
        <v>12067</v>
      </c>
      <c r="K5050">
        <v>0</v>
      </c>
      <c r="L5050">
        <v>332</v>
      </c>
    </row>
    <row r="5051" spans="1:12">
      <c r="A5051" s="183" t="s">
        <v>3903</v>
      </c>
      <c r="B5051" s="183" t="s">
        <v>3904</v>
      </c>
      <c r="C5051">
        <v>8809986728845</v>
      </c>
      <c r="D5051">
        <v>293</v>
      </c>
      <c r="E5051">
        <v>0</v>
      </c>
      <c r="F5051">
        <v>0</v>
      </c>
      <c r="G5051">
        <v>0</v>
      </c>
      <c r="H5051">
        <v>293</v>
      </c>
      <c r="I5051" s="183" t="s">
        <v>3878</v>
      </c>
      <c r="J5051" s="183" t="s">
        <v>12067</v>
      </c>
      <c r="K5051">
        <v>0</v>
      </c>
      <c r="L5051">
        <v>293</v>
      </c>
    </row>
    <row r="5052" spans="1:12">
      <c r="A5052" s="183" t="s">
        <v>3913</v>
      </c>
      <c r="B5052" s="183" t="s">
        <v>3914</v>
      </c>
      <c r="C5052">
        <v>8809986728883</v>
      </c>
      <c r="D5052">
        <v>284</v>
      </c>
      <c r="E5052">
        <v>0</v>
      </c>
      <c r="F5052">
        <v>0</v>
      </c>
      <c r="G5052">
        <v>0</v>
      </c>
      <c r="H5052">
        <v>284</v>
      </c>
      <c r="I5052" s="183" t="s">
        <v>3878</v>
      </c>
      <c r="J5052" s="183" t="s">
        <v>12092</v>
      </c>
      <c r="K5052">
        <v>0</v>
      </c>
      <c r="L5052">
        <v>284</v>
      </c>
    </row>
    <row r="5053" spans="1:12">
      <c r="A5053" s="183" t="s">
        <v>3800</v>
      </c>
      <c r="B5053" s="183" t="s">
        <v>3576</v>
      </c>
      <c r="C5053">
        <v>8800245474176</v>
      </c>
      <c r="D5053">
        <v>847</v>
      </c>
      <c r="E5053">
        <v>0</v>
      </c>
      <c r="F5053">
        <v>0</v>
      </c>
      <c r="G5053">
        <v>0</v>
      </c>
      <c r="H5053">
        <v>847</v>
      </c>
      <c r="I5053" s="183" t="s">
        <v>3577</v>
      </c>
      <c r="J5053" s="183" t="s">
        <v>12092</v>
      </c>
      <c r="K5053">
        <v>0</v>
      </c>
      <c r="L5053">
        <v>847</v>
      </c>
    </row>
    <row r="5054" spans="1:12">
      <c r="A5054" s="183" t="s">
        <v>3802</v>
      </c>
      <c r="B5054" s="183" t="s">
        <v>3576</v>
      </c>
      <c r="C5054">
        <v>8800245474183</v>
      </c>
      <c r="D5054">
        <v>214</v>
      </c>
      <c r="E5054">
        <v>0</v>
      </c>
      <c r="F5054">
        <v>0</v>
      </c>
      <c r="G5054">
        <v>0</v>
      </c>
      <c r="H5054">
        <v>214</v>
      </c>
      <c r="I5054" s="183" t="s">
        <v>3577</v>
      </c>
      <c r="J5054" s="183" t="s">
        <v>12093</v>
      </c>
      <c r="K5054">
        <v>0</v>
      </c>
      <c r="L5054">
        <v>214</v>
      </c>
    </row>
    <row r="5055" spans="1:12">
      <c r="A5055" s="183" t="s">
        <v>3626</v>
      </c>
      <c r="B5055" s="183" t="s">
        <v>3576</v>
      </c>
      <c r="C5055">
        <v>8800245474305</v>
      </c>
      <c r="D5055">
        <v>372</v>
      </c>
      <c r="E5055">
        <v>0</v>
      </c>
      <c r="F5055">
        <v>0</v>
      </c>
      <c r="G5055">
        <v>0</v>
      </c>
      <c r="H5055">
        <v>372</v>
      </c>
      <c r="I5055" s="183" t="s">
        <v>3577</v>
      </c>
      <c r="J5055" s="183" t="s">
        <v>12059</v>
      </c>
      <c r="K5055">
        <v>0</v>
      </c>
      <c r="L5055">
        <v>372</v>
      </c>
    </row>
    <row r="5056" spans="1:12">
      <c r="A5056" s="183" t="s">
        <v>3639</v>
      </c>
      <c r="B5056" s="183" t="s">
        <v>3576</v>
      </c>
      <c r="C5056">
        <v>8800245474350</v>
      </c>
      <c r="D5056" s="501">
        <v>1125</v>
      </c>
      <c r="E5056">
        <v>0</v>
      </c>
      <c r="F5056">
        <v>0</v>
      </c>
      <c r="G5056">
        <v>0</v>
      </c>
      <c r="H5056" s="501">
        <v>1125</v>
      </c>
      <c r="I5056" s="183" t="s">
        <v>3577</v>
      </c>
      <c r="J5056" s="183" t="s">
        <v>12093</v>
      </c>
      <c r="K5056">
        <v>0</v>
      </c>
      <c r="L5056" s="501">
        <v>1125</v>
      </c>
    </row>
    <row r="5057" spans="1:12">
      <c r="A5057" s="183" t="s">
        <v>3598</v>
      </c>
      <c r="B5057" s="183" t="s">
        <v>3576</v>
      </c>
      <c r="C5057">
        <v>8800245474374</v>
      </c>
      <c r="D5057" s="501">
        <v>1212</v>
      </c>
      <c r="E5057">
        <v>0</v>
      </c>
      <c r="F5057">
        <v>0</v>
      </c>
      <c r="G5057">
        <v>0</v>
      </c>
      <c r="H5057" s="501">
        <v>1212</v>
      </c>
      <c r="I5057" s="183" t="s">
        <v>3577</v>
      </c>
      <c r="J5057" s="183" t="s">
        <v>12067</v>
      </c>
      <c r="K5057">
        <v>0</v>
      </c>
      <c r="L5057" s="501">
        <v>1212</v>
      </c>
    </row>
    <row r="5058" spans="1:12">
      <c r="A5058" s="183" t="s">
        <v>3617</v>
      </c>
      <c r="B5058" s="183" t="s">
        <v>3576</v>
      </c>
      <c r="C5058">
        <v>8800245474527</v>
      </c>
      <c r="D5058">
        <v>935</v>
      </c>
      <c r="E5058">
        <v>0</v>
      </c>
      <c r="F5058">
        <v>0</v>
      </c>
      <c r="G5058">
        <v>0</v>
      </c>
      <c r="H5058">
        <v>935</v>
      </c>
      <c r="I5058" s="183" t="s">
        <v>3577</v>
      </c>
      <c r="J5058" s="183" t="s">
        <v>12059</v>
      </c>
      <c r="K5058">
        <v>0</v>
      </c>
      <c r="L5058">
        <v>935</v>
      </c>
    </row>
    <row r="5059" spans="1:12">
      <c r="A5059" s="183" t="s">
        <v>3618</v>
      </c>
      <c r="B5059" s="183" t="s">
        <v>3574</v>
      </c>
      <c r="C5059">
        <v>8800245474954</v>
      </c>
      <c r="D5059">
        <v>507</v>
      </c>
      <c r="E5059">
        <v>0</v>
      </c>
      <c r="F5059">
        <v>0</v>
      </c>
      <c r="G5059">
        <v>0</v>
      </c>
      <c r="H5059">
        <v>507</v>
      </c>
      <c r="I5059" s="183" t="s">
        <v>3575</v>
      </c>
      <c r="J5059" s="183" t="s">
        <v>12081</v>
      </c>
      <c r="K5059">
        <v>0</v>
      </c>
      <c r="L5059">
        <v>507</v>
      </c>
    </row>
    <row r="5060" spans="1:12">
      <c r="A5060" s="183" t="s">
        <v>3597</v>
      </c>
      <c r="B5060" s="183" t="s">
        <v>3574</v>
      </c>
      <c r="C5060">
        <v>8800245475128</v>
      </c>
      <c r="D5060">
        <v>948</v>
      </c>
      <c r="E5060">
        <v>0</v>
      </c>
      <c r="F5060">
        <v>0</v>
      </c>
      <c r="G5060">
        <v>0</v>
      </c>
      <c r="H5060">
        <v>948</v>
      </c>
      <c r="I5060" s="183" t="s">
        <v>3575</v>
      </c>
      <c r="J5060" s="183" t="s">
        <v>12060</v>
      </c>
      <c r="K5060">
        <v>0</v>
      </c>
      <c r="L5060">
        <v>948</v>
      </c>
    </row>
    <row r="5061" spans="1:12">
      <c r="A5061" s="183" t="s">
        <v>3625</v>
      </c>
      <c r="B5061" s="183" t="s">
        <v>3574</v>
      </c>
      <c r="C5061">
        <v>8800245475159</v>
      </c>
      <c r="D5061" s="501">
        <v>1082</v>
      </c>
      <c r="E5061">
        <v>0</v>
      </c>
      <c r="F5061">
        <v>1</v>
      </c>
      <c r="G5061">
        <v>0</v>
      </c>
      <c r="H5061" s="501">
        <v>1083</v>
      </c>
      <c r="I5061" s="183" t="s">
        <v>3575</v>
      </c>
      <c r="J5061" s="183" t="s">
        <v>12050</v>
      </c>
      <c r="K5061">
        <v>0</v>
      </c>
      <c r="L5061" s="501">
        <v>1082</v>
      </c>
    </row>
    <row r="5062" spans="1:12">
      <c r="A5062" s="183" t="s">
        <v>3588</v>
      </c>
      <c r="B5062" s="183" t="s">
        <v>3574</v>
      </c>
      <c r="C5062">
        <v>8800245475197</v>
      </c>
      <c r="D5062">
        <v>675</v>
      </c>
      <c r="E5062">
        <v>0</v>
      </c>
      <c r="F5062">
        <v>0</v>
      </c>
      <c r="G5062">
        <v>0</v>
      </c>
      <c r="H5062">
        <v>675</v>
      </c>
      <c r="I5062" s="183" t="s">
        <v>3575</v>
      </c>
      <c r="J5062" s="183" t="s">
        <v>12063</v>
      </c>
      <c r="K5062">
        <v>0</v>
      </c>
      <c r="L5062">
        <v>675</v>
      </c>
    </row>
    <row r="5063" spans="1:12">
      <c r="A5063" s="183" t="s">
        <v>3612</v>
      </c>
      <c r="B5063" s="183" t="s">
        <v>3574</v>
      </c>
      <c r="C5063">
        <v>8800245475289</v>
      </c>
      <c r="D5063">
        <v>696</v>
      </c>
      <c r="E5063">
        <v>0</v>
      </c>
      <c r="F5063">
        <v>0</v>
      </c>
      <c r="G5063">
        <v>0</v>
      </c>
      <c r="H5063">
        <v>696</v>
      </c>
      <c r="I5063" s="183" t="s">
        <v>3575</v>
      </c>
      <c r="J5063" s="183" t="s">
        <v>12085</v>
      </c>
      <c r="K5063">
        <v>0</v>
      </c>
      <c r="L5063">
        <v>696</v>
      </c>
    </row>
    <row r="5064" spans="1:12">
      <c r="A5064" s="183" t="s">
        <v>3601</v>
      </c>
      <c r="B5064" s="183" t="s">
        <v>3574</v>
      </c>
      <c r="C5064">
        <v>8800245475326</v>
      </c>
      <c r="D5064">
        <v>555</v>
      </c>
      <c r="E5064">
        <v>0</v>
      </c>
      <c r="F5064">
        <v>0</v>
      </c>
      <c r="G5064">
        <v>0</v>
      </c>
      <c r="H5064">
        <v>555</v>
      </c>
      <c r="I5064" s="183" t="s">
        <v>3575</v>
      </c>
      <c r="J5064" s="183" t="s">
        <v>12087</v>
      </c>
      <c r="K5064">
        <v>0</v>
      </c>
      <c r="L5064">
        <v>555</v>
      </c>
    </row>
    <row r="5065" spans="1:12">
      <c r="A5065" s="183" t="s">
        <v>3579</v>
      </c>
      <c r="B5065" s="183" t="s">
        <v>3574</v>
      </c>
      <c r="C5065">
        <v>8800245475340</v>
      </c>
      <c r="D5065" s="501">
        <v>1130</v>
      </c>
      <c r="E5065">
        <v>0</v>
      </c>
      <c r="F5065">
        <v>0</v>
      </c>
      <c r="G5065">
        <v>0</v>
      </c>
      <c r="H5065" s="501">
        <v>1130</v>
      </c>
      <c r="I5065" s="183" t="s">
        <v>3575</v>
      </c>
      <c r="J5065" s="183" t="s">
        <v>12093</v>
      </c>
      <c r="K5065">
        <v>0</v>
      </c>
      <c r="L5065" s="501">
        <v>1130</v>
      </c>
    </row>
    <row r="5066" spans="1:12">
      <c r="A5066" s="183" t="s">
        <v>3573</v>
      </c>
      <c r="B5066" s="183" t="s">
        <v>3574</v>
      </c>
      <c r="C5066">
        <v>8800245475364</v>
      </c>
      <c r="D5066">
        <v>949</v>
      </c>
      <c r="E5066">
        <v>0</v>
      </c>
      <c r="F5066">
        <v>0</v>
      </c>
      <c r="G5066">
        <v>0</v>
      </c>
      <c r="H5066">
        <v>949</v>
      </c>
      <c r="I5066" s="183" t="s">
        <v>3575</v>
      </c>
      <c r="J5066" s="183" t="s">
        <v>12092</v>
      </c>
      <c r="K5066">
        <v>0</v>
      </c>
      <c r="L5066">
        <v>949</v>
      </c>
    </row>
    <row r="5067" spans="1:12">
      <c r="A5067" s="183" t="s">
        <v>2404</v>
      </c>
      <c r="B5067" s="183" t="s">
        <v>1411</v>
      </c>
      <c r="C5067">
        <v>17140215</v>
      </c>
      <c r="D5067">
        <v>140</v>
      </c>
      <c r="E5067">
        <v>0</v>
      </c>
      <c r="F5067">
        <v>0</v>
      </c>
      <c r="G5067">
        <v>0</v>
      </c>
      <c r="H5067">
        <v>140</v>
      </c>
      <c r="I5067" s="183" t="s">
        <v>1412</v>
      </c>
      <c r="J5067" s="183" t="s">
        <v>12093</v>
      </c>
      <c r="K5067">
        <v>0</v>
      </c>
      <c r="L5067">
        <v>140</v>
      </c>
    </row>
    <row r="5068" spans="1:12">
      <c r="A5068" s="183" t="s">
        <v>2112</v>
      </c>
      <c r="B5068" s="183" t="s">
        <v>1411</v>
      </c>
      <c r="C5068">
        <v>17140216</v>
      </c>
      <c r="D5068">
        <v>111</v>
      </c>
      <c r="E5068">
        <v>0</v>
      </c>
      <c r="F5068">
        <v>0</v>
      </c>
      <c r="G5068">
        <v>0</v>
      </c>
      <c r="H5068">
        <v>111</v>
      </c>
      <c r="I5068" s="183" t="s">
        <v>1412</v>
      </c>
      <c r="J5068" s="183" t="s">
        <v>12095</v>
      </c>
      <c r="K5068">
        <v>0</v>
      </c>
      <c r="L5068">
        <v>111</v>
      </c>
    </row>
    <row r="5069" spans="1:12">
      <c r="A5069" s="183" t="s">
        <v>1780</v>
      </c>
      <c r="B5069" s="183" t="s">
        <v>1411</v>
      </c>
      <c r="C5069">
        <v>17140218</v>
      </c>
      <c r="D5069">
        <v>55</v>
      </c>
      <c r="E5069">
        <v>0</v>
      </c>
      <c r="F5069">
        <v>0</v>
      </c>
      <c r="G5069">
        <v>0</v>
      </c>
      <c r="H5069">
        <v>55</v>
      </c>
      <c r="I5069" s="183" t="s">
        <v>1412</v>
      </c>
      <c r="J5069" s="183" t="s">
        <v>12053</v>
      </c>
      <c r="K5069">
        <v>0</v>
      </c>
      <c r="L5069">
        <v>55</v>
      </c>
    </row>
    <row r="5070" spans="1:12">
      <c r="A5070" s="183" t="s">
        <v>1768</v>
      </c>
      <c r="B5070" s="183" t="s">
        <v>1411</v>
      </c>
      <c r="C5070">
        <v>17140226</v>
      </c>
      <c r="D5070">
        <v>312</v>
      </c>
      <c r="E5070">
        <v>0</v>
      </c>
      <c r="F5070">
        <v>0</v>
      </c>
      <c r="G5070">
        <v>0</v>
      </c>
      <c r="H5070">
        <v>312</v>
      </c>
      <c r="I5070" s="183" t="s">
        <v>1412</v>
      </c>
      <c r="J5070" s="183" t="s">
        <v>12092</v>
      </c>
      <c r="K5070">
        <v>0</v>
      </c>
      <c r="L5070">
        <v>312</v>
      </c>
    </row>
    <row r="5071" spans="1:12">
      <c r="A5071" s="183" t="s">
        <v>3607</v>
      </c>
      <c r="B5071" s="183" t="s">
        <v>3574</v>
      </c>
      <c r="C5071">
        <v>8800245475173</v>
      </c>
      <c r="D5071">
        <v>131</v>
      </c>
      <c r="E5071">
        <v>0</v>
      </c>
      <c r="F5071">
        <v>0</v>
      </c>
      <c r="G5071">
        <v>0</v>
      </c>
      <c r="H5071">
        <v>131</v>
      </c>
      <c r="I5071" s="183" t="s">
        <v>3575</v>
      </c>
      <c r="J5071" s="183" t="s">
        <v>12048</v>
      </c>
      <c r="K5071">
        <v>0</v>
      </c>
      <c r="L5071">
        <v>131</v>
      </c>
    </row>
    <row r="5072" spans="1:12">
      <c r="A5072" s="183" t="s">
        <v>3638</v>
      </c>
      <c r="B5072" s="183" t="s">
        <v>3574</v>
      </c>
      <c r="C5072">
        <v>8800245475395</v>
      </c>
      <c r="D5072" s="501">
        <v>1169</v>
      </c>
      <c r="E5072">
        <v>0</v>
      </c>
      <c r="F5072">
        <v>0</v>
      </c>
      <c r="G5072">
        <v>0</v>
      </c>
      <c r="H5072" s="501">
        <v>1169</v>
      </c>
      <c r="I5072" s="183" t="s">
        <v>3575</v>
      </c>
      <c r="J5072" s="183" t="s">
        <v>12087</v>
      </c>
      <c r="K5072">
        <v>0</v>
      </c>
      <c r="L5072" s="501">
        <v>1169</v>
      </c>
    </row>
    <row r="5073" spans="1:12">
      <c r="A5073" s="183" t="s">
        <v>3586</v>
      </c>
      <c r="B5073" s="183" t="s">
        <v>3574</v>
      </c>
      <c r="C5073">
        <v>8800245475432</v>
      </c>
      <c r="D5073">
        <v>412</v>
      </c>
      <c r="E5073">
        <v>0</v>
      </c>
      <c r="F5073">
        <v>0</v>
      </c>
      <c r="G5073">
        <v>0</v>
      </c>
      <c r="H5073">
        <v>412</v>
      </c>
      <c r="I5073" s="183" t="s">
        <v>3575</v>
      </c>
      <c r="J5073" s="183" t="s">
        <v>12081</v>
      </c>
      <c r="K5073">
        <v>0</v>
      </c>
      <c r="L5073">
        <v>412</v>
      </c>
    </row>
    <row r="5074" spans="1:12">
      <c r="A5074" s="183" t="s">
        <v>3587</v>
      </c>
      <c r="B5074" s="183" t="s">
        <v>3574</v>
      </c>
      <c r="C5074">
        <v>8800245475470</v>
      </c>
      <c r="D5074">
        <v>261</v>
      </c>
      <c r="E5074">
        <v>0</v>
      </c>
      <c r="F5074">
        <v>0</v>
      </c>
      <c r="G5074">
        <v>0</v>
      </c>
      <c r="H5074">
        <v>261</v>
      </c>
      <c r="I5074" s="183" t="s">
        <v>3575</v>
      </c>
      <c r="J5074" s="183" t="s">
        <v>12087</v>
      </c>
      <c r="K5074">
        <v>0</v>
      </c>
      <c r="L5074">
        <v>261</v>
      </c>
    </row>
    <row r="5075" spans="1:12">
      <c r="A5075" s="183" t="s">
        <v>2556</v>
      </c>
      <c r="B5075" s="183" t="s">
        <v>1330</v>
      </c>
      <c r="C5075">
        <v>15550210</v>
      </c>
      <c r="D5075">
        <v>93</v>
      </c>
      <c r="E5075">
        <v>0</v>
      </c>
      <c r="F5075">
        <v>0</v>
      </c>
      <c r="G5075">
        <v>0</v>
      </c>
      <c r="H5075">
        <v>93</v>
      </c>
      <c r="I5075" s="183" t="s">
        <v>1331</v>
      </c>
      <c r="J5075" s="183" t="s">
        <v>12059</v>
      </c>
      <c r="K5075">
        <v>0</v>
      </c>
      <c r="L5075">
        <v>93</v>
      </c>
    </row>
    <row r="5076" spans="1:12">
      <c r="A5076" s="183" t="s">
        <v>1578</v>
      </c>
      <c r="B5076" s="183" t="s">
        <v>1330</v>
      </c>
      <c r="C5076">
        <v>15550217</v>
      </c>
      <c r="D5076">
        <v>64</v>
      </c>
      <c r="E5076">
        <v>0</v>
      </c>
      <c r="F5076">
        <v>0</v>
      </c>
      <c r="G5076">
        <v>0</v>
      </c>
      <c r="H5076">
        <v>64</v>
      </c>
      <c r="I5076" s="183" t="s">
        <v>1331</v>
      </c>
      <c r="J5076" s="183" t="s">
        <v>12094</v>
      </c>
      <c r="K5076">
        <v>0</v>
      </c>
      <c r="L5076">
        <v>64</v>
      </c>
    </row>
    <row r="5077" spans="1:12">
      <c r="A5077" s="183" t="s">
        <v>2562</v>
      </c>
      <c r="B5077" s="183" t="s">
        <v>1330</v>
      </c>
      <c r="C5077">
        <v>15550218</v>
      </c>
      <c r="D5077">
        <v>87</v>
      </c>
      <c r="E5077">
        <v>0</v>
      </c>
      <c r="F5077">
        <v>0</v>
      </c>
      <c r="G5077">
        <v>0</v>
      </c>
      <c r="H5077">
        <v>87</v>
      </c>
      <c r="I5077" s="183" t="s">
        <v>1331</v>
      </c>
      <c r="J5077" s="183" t="s">
        <v>12059</v>
      </c>
      <c r="K5077">
        <v>0</v>
      </c>
      <c r="L5077">
        <v>87</v>
      </c>
    </row>
    <row r="5078" spans="1:12">
      <c r="A5078" s="183" t="s">
        <v>1910</v>
      </c>
      <c r="B5078" s="183" t="s">
        <v>1458</v>
      </c>
      <c r="C5078">
        <v>15560211</v>
      </c>
      <c r="D5078">
        <v>52</v>
      </c>
      <c r="E5078">
        <v>0</v>
      </c>
      <c r="F5078">
        <v>0</v>
      </c>
      <c r="G5078">
        <v>0</v>
      </c>
      <c r="H5078">
        <v>52</v>
      </c>
      <c r="I5078" s="183" t="s">
        <v>1459</v>
      </c>
      <c r="J5078" s="183" t="s">
        <v>12060</v>
      </c>
      <c r="K5078">
        <v>0</v>
      </c>
      <c r="L5078">
        <v>52</v>
      </c>
    </row>
    <row r="5079" spans="1:12">
      <c r="A5079" s="183" t="s">
        <v>2063</v>
      </c>
      <c r="B5079" s="183" t="s">
        <v>1458</v>
      </c>
      <c r="C5079">
        <v>15560213</v>
      </c>
      <c r="D5079">
        <v>69</v>
      </c>
      <c r="E5079">
        <v>0</v>
      </c>
      <c r="F5079">
        <v>0</v>
      </c>
      <c r="G5079">
        <v>0</v>
      </c>
      <c r="H5079">
        <v>69</v>
      </c>
      <c r="I5079" s="183" t="s">
        <v>1459</v>
      </c>
      <c r="J5079" s="183" t="s">
        <v>12067</v>
      </c>
      <c r="K5079">
        <v>0</v>
      </c>
      <c r="L5079">
        <v>69</v>
      </c>
    </row>
    <row r="5080" spans="1:12">
      <c r="A5080" s="183" t="s">
        <v>1716</v>
      </c>
      <c r="B5080" s="183" t="s">
        <v>1458</v>
      </c>
      <c r="C5080">
        <v>15560215</v>
      </c>
      <c r="D5080">
        <v>55</v>
      </c>
      <c r="E5080">
        <v>0</v>
      </c>
      <c r="F5080">
        <v>0</v>
      </c>
      <c r="G5080">
        <v>0</v>
      </c>
      <c r="H5080">
        <v>55</v>
      </c>
      <c r="I5080" s="183" t="s">
        <v>1459</v>
      </c>
      <c r="J5080" s="183" t="s">
        <v>12053</v>
      </c>
      <c r="K5080">
        <v>0</v>
      </c>
      <c r="L5080">
        <v>55</v>
      </c>
    </row>
    <row r="5081" spans="1:12">
      <c r="A5081" s="183" t="s">
        <v>2551</v>
      </c>
      <c r="B5081" s="183" t="s">
        <v>1458</v>
      </c>
      <c r="C5081">
        <v>15560228</v>
      </c>
      <c r="D5081">
        <v>97</v>
      </c>
      <c r="E5081">
        <v>0</v>
      </c>
      <c r="F5081">
        <v>0</v>
      </c>
      <c r="G5081">
        <v>0</v>
      </c>
      <c r="H5081">
        <v>97</v>
      </c>
      <c r="I5081" s="183" t="s">
        <v>1459</v>
      </c>
      <c r="J5081" s="183" t="s">
        <v>12053</v>
      </c>
      <c r="K5081">
        <v>0</v>
      </c>
      <c r="L5081">
        <v>97</v>
      </c>
    </row>
    <row r="5082" spans="1:12">
      <c r="A5082" s="183" t="s">
        <v>2366</v>
      </c>
      <c r="B5082" s="183" t="s">
        <v>1458</v>
      </c>
      <c r="C5082">
        <v>15560230</v>
      </c>
      <c r="D5082">
        <v>160</v>
      </c>
      <c r="E5082">
        <v>0</v>
      </c>
      <c r="F5082">
        <v>0</v>
      </c>
      <c r="G5082">
        <v>0</v>
      </c>
      <c r="H5082">
        <v>160</v>
      </c>
      <c r="I5082" s="183" t="s">
        <v>1459</v>
      </c>
      <c r="J5082" s="183" t="s">
        <v>12067</v>
      </c>
      <c r="K5082">
        <v>0</v>
      </c>
      <c r="L5082">
        <v>160</v>
      </c>
    </row>
    <row r="5083" spans="1:12">
      <c r="A5083" s="183" t="s">
        <v>1730</v>
      </c>
      <c r="B5083" s="183" t="s">
        <v>1341</v>
      </c>
      <c r="C5083">
        <v>15570217</v>
      </c>
      <c r="D5083">
        <v>109</v>
      </c>
      <c r="E5083">
        <v>0</v>
      </c>
      <c r="F5083">
        <v>0</v>
      </c>
      <c r="G5083">
        <v>0</v>
      </c>
      <c r="H5083">
        <v>109</v>
      </c>
      <c r="I5083" s="183" t="s">
        <v>1342</v>
      </c>
      <c r="J5083" s="183" t="s">
        <v>12092</v>
      </c>
      <c r="K5083">
        <v>0</v>
      </c>
      <c r="L5083">
        <v>109</v>
      </c>
    </row>
    <row r="5084" spans="1:12">
      <c r="A5084" s="183" t="s">
        <v>2712</v>
      </c>
      <c r="B5084" s="183" t="s">
        <v>1341</v>
      </c>
      <c r="C5084">
        <v>15570224</v>
      </c>
      <c r="D5084">
        <v>140</v>
      </c>
      <c r="E5084">
        <v>0</v>
      </c>
      <c r="F5084">
        <v>0</v>
      </c>
      <c r="G5084">
        <v>0</v>
      </c>
      <c r="H5084">
        <v>140</v>
      </c>
      <c r="I5084" s="183" t="s">
        <v>1342</v>
      </c>
      <c r="J5084" s="183" t="s">
        <v>12053</v>
      </c>
      <c r="K5084">
        <v>0</v>
      </c>
      <c r="L5084">
        <v>140</v>
      </c>
    </row>
    <row r="5085" spans="1:12">
      <c r="A5085" s="183" t="s">
        <v>2719</v>
      </c>
      <c r="B5085" s="183" t="s">
        <v>1341</v>
      </c>
      <c r="C5085">
        <v>15570230</v>
      </c>
      <c r="D5085">
        <v>76</v>
      </c>
      <c r="E5085">
        <v>0</v>
      </c>
      <c r="F5085">
        <v>0</v>
      </c>
      <c r="G5085">
        <v>0</v>
      </c>
      <c r="H5085">
        <v>76</v>
      </c>
      <c r="I5085" s="183" t="s">
        <v>1342</v>
      </c>
      <c r="J5085" s="183" t="s">
        <v>12093</v>
      </c>
      <c r="K5085">
        <v>0</v>
      </c>
      <c r="L5085">
        <v>76</v>
      </c>
    </row>
    <row r="5086" spans="1:12">
      <c r="A5086" s="183" t="s">
        <v>2571</v>
      </c>
      <c r="B5086" s="183" t="s">
        <v>1371</v>
      </c>
      <c r="C5086">
        <v>17120208</v>
      </c>
      <c r="D5086">
        <v>104</v>
      </c>
      <c r="E5086">
        <v>0</v>
      </c>
      <c r="F5086">
        <v>0</v>
      </c>
      <c r="G5086">
        <v>0</v>
      </c>
      <c r="H5086">
        <v>104</v>
      </c>
      <c r="I5086" s="183" t="s">
        <v>1372</v>
      </c>
      <c r="J5086" s="183" t="s">
        <v>12093</v>
      </c>
      <c r="K5086">
        <v>0</v>
      </c>
      <c r="L5086">
        <v>104</v>
      </c>
    </row>
    <row r="5087" spans="1:12">
      <c r="A5087" s="183" t="s">
        <v>1570</v>
      </c>
      <c r="B5087" s="183" t="s">
        <v>1371</v>
      </c>
      <c r="C5087">
        <v>17120219</v>
      </c>
      <c r="D5087">
        <v>155</v>
      </c>
      <c r="E5087">
        <v>0</v>
      </c>
      <c r="F5087">
        <v>0</v>
      </c>
      <c r="G5087">
        <v>0</v>
      </c>
      <c r="H5087">
        <v>155</v>
      </c>
      <c r="I5087" s="183" t="s">
        <v>1372</v>
      </c>
      <c r="J5087" s="183" t="s">
        <v>12093</v>
      </c>
      <c r="K5087">
        <v>0</v>
      </c>
      <c r="L5087">
        <v>155</v>
      </c>
    </row>
    <row r="5088" spans="1:12">
      <c r="A5088" s="183" t="s">
        <v>2570</v>
      </c>
      <c r="B5088" s="183" t="s">
        <v>1371</v>
      </c>
      <c r="C5088">
        <v>17120230</v>
      </c>
      <c r="D5088">
        <v>234</v>
      </c>
      <c r="E5088">
        <v>0</v>
      </c>
      <c r="F5088">
        <v>0</v>
      </c>
      <c r="G5088">
        <v>0</v>
      </c>
      <c r="H5088">
        <v>234</v>
      </c>
      <c r="I5088" s="183" t="s">
        <v>1372</v>
      </c>
      <c r="J5088" s="183" t="s">
        <v>12094</v>
      </c>
      <c r="K5088">
        <v>0</v>
      </c>
      <c r="L5088">
        <v>234</v>
      </c>
    </row>
    <row r="5089" spans="1:12">
      <c r="A5089" s="183" t="s">
        <v>1925</v>
      </c>
      <c r="B5089" s="183" t="s">
        <v>1550</v>
      </c>
      <c r="C5089">
        <v>17130210</v>
      </c>
      <c r="D5089">
        <v>232</v>
      </c>
      <c r="E5089">
        <v>0</v>
      </c>
      <c r="F5089">
        <v>0</v>
      </c>
      <c r="G5089">
        <v>0</v>
      </c>
      <c r="H5089">
        <v>232</v>
      </c>
      <c r="I5089" s="183" t="s">
        <v>1551</v>
      </c>
      <c r="J5089" s="183" t="s">
        <v>12091</v>
      </c>
      <c r="K5089">
        <v>0</v>
      </c>
      <c r="L5089">
        <v>232</v>
      </c>
    </row>
    <row r="5090" spans="1:12">
      <c r="A5090" s="183" t="s">
        <v>2572</v>
      </c>
      <c r="B5090" s="183" t="s">
        <v>1550</v>
      </c>
      <c r="C5090">
        <v>17130214</v>
      </c>
      <c r="D5090">
        <v>131</v>
      </c>
      <c r="E5090">
        <v>0</v>
      </c>
      <c r="F5090">
        <v>0</v>
      </c>
      <c r="G5090">
        <v>0</v>
      </c>
      <c r="H5090">
        <v>131</v>
      </c>
      <c r="I5090" s="183" t="s">
        <v>1551</v>
      </c>
      <c r="J5090" s="183" t="s">
        <v>12087</v>
      </c>
      <c r="K5090">
        <v>0</v>
      </c>
      <c r="L5090">
        <v>131</v>
      </c>
    </row>
    <row r="5091" spans="1:12">
      <c r="A5091" s="183" t="s">
        <v>2552</v>
      </c>
      <c r="B5091" s="183" t="s">
        <v>1550</v>
      </c>
      <c r="C5091">
        <v>17130222</v>
      </c>
      <c r="D5091">
        <v>182</v>
      </c>
      <c r="E5091">
        <v>0</v>
      </c>
      <c r="F5091">
        <v>0</v>
      </c>
      <c r="G5091">
        <v>0</v>
      </c>
      <c r="H5091">
        <v>182</v>
      </c>
      <c r="I5091" s="183" t="s">
        <v>1551</v>
      </c>
      <c r="J5091" s="183" t="s">
        <v>12053</v>
      </c>
      <c r="K5091">
        <v>0</v>
      </c>
      <c r="L5091">
        <v>182</v>
      </c>
    </row>
    <row r="5092" spans="1:12">
      <c r="A5092" s="183" t="s">
        <v>2699</v>
      </c>
      <c r="B5092" s="183" t="s">
        <v>1550</v>
      </c>
      <c r="C5092">
        <v>17130230</v>
      </c>
      <c r="D5092">
        <v>234</v>
      </c>
      <c r="E5092">
        <v>0</v>
      </c>
      <c r="F5092">
        <v>0</v>
      </c>
      <c r="G5092">
        <v>0</v>
      </c>
      <c r="H5092">
        <v>234</v>
      </c>
      <c r="I5092" s="183" t="s">
        <v>1551</v>
      </c>
      <c r="J5092" s="183" t="s">
        <v>12050</v>
      </c>
      <c r="K5092">
        <v>0</v>
      </c>
      <c r="L5092">
        <v>234</v>
      </c>
    </row>
    <row r="5093" spans="1:12">
      <c r="A5093" s="183" t="s">
        <v>2698</v>
      </c>
      <c r="B5093" s="183" t="s">
        <v>1411</v>
      </c>
      <c r="C5093">
        <v>17140202</v>
      </c>
      <c r="D5093">
        <v>102</v>
      </c>
      <c r="E5093">
        <v>0</v>
      </c>
      <c r="F5093">
        <v>0</v>
      </c>
      <c r="G5093">
        <v>0</v>
      </c>
      <c r="H5093">
        <v>102</v>
      </c>
      <c r="I5093" s="183" t="s">
        <v>1412</v>
      </c>
      <c r="J5093" s="183" t="s">
        <v>12053</v>
      </c>
      <c r="K5093">
        <v>0</v>
      </c>
      <c r="L5093">
        <v>102</v>
      </c>
    </row>
    <row r="5094" spans="1:12">
      <c r="A5094" s="183" t="s">
        <v>1738</v>
      </c>
      <c r="B5094" s="183" t="s">
        <v>1411</v>
      </c>
      <c r="C5094">
        <v>17140208</v>
      </c>
      <c r="D5094">
        <v>122</v>
      </c>
      <c r="E5094">
        <v>0</v>
      </c>
      <c r="F5094">
        <v>0</v>
      </c>
      <c r="G5094">
        <v>0</v>
      </c>
      <c r="H5094">
        <v>122</v>
      </c>
      <c r="I5094" s="183" t="s">
        <v>1412</v>
      </c>
      <c r="J5094" s="183" t="s">
        <v>12053</v>
      </c>
      <c r="K5094">
        <v>0</v>
      </c>
      <c r="L5094">
        <v>122</v>
      </c>
    </row>
    <row r="5095" spans="1:12">
      <c r="A5095" s="183" t="s">
        <v>6431</v>
      </c>
      <c r="B5095" s="183" t="s">
        <v>1330</v>
      </c>
      <c r="C5095">
        <v>15550200</v>
      </c>
      <c r="D5095">
        <v>1</v>
      </c>
      <c r="E5095">
        <v>0</v>
      </c>
      <c r="F5095">
        <v>0</v>
      </c>
      <c r="G5095">
        <v>0</v>
      </c>
      <c r="H5095">
        <v>1</v>
      </c>
      <c r="I5095" s="183" t="s">
        <v>1331</v>
      </c>
      <c r="J5095" s="183" t="s">
        <v>12093</v>
      </c>
      <c r="K5095">
        <v>0</v>
      </c>
      <c r="L5095">
        <v>1</v>
      </c>
    </row>
    <row r="5096" spans="1:12">
      <c r="A5096" s="183" t="s">
        <v>1819</v>
      </c>
      <c r="B5096" s="183" t="s">
        <v>1330</v>
      </c>
      <c r="C5096">
        <v>15550224</v>
      </c>
      <c r="D5096">
        <v>60</v>
      </c>
      <c r="E5096">
        <v>0</v>
      </c>
      <c r="F5096">
        <v>0</v>
      </c>
      <c r="G5096">
        <v>0</v>
      </c>
      <c r="H5096">
        <v>60</v>
      </c>
      <c r="I5096" s="183" t="s">
        <v>1331</v>
      </c>
      <c r="J5096" s="183" t="s">
        <v>12067</v>
      </c>
      <c r="K5096">
        <v>0</v>
      </c>
      <c r="L5096">
        <v>60</v>
      </c>
    </row>
    <row r="5097" spans="1:12">
      <c r="A5097" s="183" t="s">
        <v>1818</v>
      </c>
      <c r="B5097" s="183" t="s">
        <v>1458</v>
      </c>
      <c r="C5097">
        <v>15560214</v>
      </c>
      <c r="D5097">
        <v>93</v>
      </c>
      <c r="E5097">
        <v>0</v>
      </c>
      <c r="F5097">
        <v>0</v>
      </c>
      <c r="G5097">
        <v>0</v>
      </c>
      <c r="H5097">
        <v>93</v>
      </c>
      <c r="I5097" s="183" t="s">
        <v>1459</v>
      </c>
      <c r="J5097" s="183" t="s">
        <v>12067</v>
      </c>
      <c r="K5097">
        <v>0</v>
      </c>
      <c r="L5097">
        <v>93</v>
      </c>
    </row>
    <row r="5098" spans="1:12">
      <c r="A5098" s="183" t="s">
        <v>1822</v>
      </c>
      <c r="B5098" s="183" t="s">
        <v>1458</v>
      </c>
      <c r="C5098">
        <v>15560217</v>
      </c>
      <c r="D5098">
        <v>122</v>
      </c>
      <c r="E5098">
        <v>0</v>
      </c>
      <c r="F5098">
        <v>0</v>
      </c>
      <c r="G5098">
        <v>0</v>
      </c>
      <c r="H5098">
        <v>122</v>
      </c>
      <c r="I5098" s="183" t="s">
        <v>1459</v>
      </c>
      <c r="J5098" s="183" t="s">
        <v>12067</v>
      </c>
      <c r="K5098">
        <v>0</v>
      </c>
      <c r="L5098">
        <v>122</v>
      </c>
    </row>
    <row r="5099" spans="1:12">
      <c r="A5099" s="183" t="s">
        <v>2178</v>
      </c>
      <c r="B5099" s="183" t="s">
        <v>1458</v>
      </c>
      <c r="C5099">
        <v>15560224</v>
      </c>
      <c r="D5099">
        <v>96</v>
      </c>
      <c r="E5099">
        <v>0</v>
      </c>
      <c r="F5099">
        <v>0</v>
      </c>
      <c r="G5099">
        <v>0</v>
      </c>
      <c r="H5099">
        <v>96</v>
      </c>
      <c r="I5099" s="183" t="s">
        <v>1459</v>
      </c>
      <c r="J5099" s="183" t="s">
        <v>12092</v>
      </c>
      <c r="K5099">
        <v>0</v>
      </c>
      <c r="L5099">
        <v>96</v>
      </c>
    </row>
    <row r="5100" spans="1:12">
      <c r="A5100" s="183" t="s">
        <v>1505</v>
      </c>
      <c r="B5100" s="183" t="s">
        <v>1341</v>
      </c>
      <c r="C5100">
        <v>15570206</v>
      </c>
      <c r="D5100">
        <v>67</v>
      </c>
      <c r="E5100">
        <v>0</v>
      </c>
      <c r="F5100">
        <v>0</v>
      </c>
      <c r="G5100">
        <v>0</v>
      </c>
      <c r="H5100">
        <v>67</v>
      </c>
      <c r="I5100" s="183" t="s">
        <v>1342</v>
      </c>
      <c r="J5100" s="183" t="s">
        <v>12091</v>
      </c>
      <c r="K5100">
        <v>0</v>
      </c>
      <c r="L5100">
        <v>67</v>
      </c>
    </row>
    <row r="5101" spans="1:12">
      <c r="A5101" s="183" t="s">
        <v>2000</v>
      </c>
      <c r="B5101" s="183" t="s">
        <v>1341</v>
      </c>
      <c r="C5101">
        <v>15570207</v>
      </c>
      <c r="D5101">
        <v>127</v>
      </c>
      <c r="E5101">
        <v>0</v>
      </c>
      <c r="F5101">
        <v>0</v>
      </c>
      <c r="G5101">
        <v>0</v>
      </c>
      <c r="H5101">
        <v>127</v>
      </c>
      <c r="I5101" s="183" t="s">
        <v>1342</v>
      </c>
      <c r="J5101" s="183" t="s">
        <v>12094</v>
      </c>
      <c r="K5101">
        <v>0</v>
      </c>
      <c r="L5101">
        <v>127</v>
      </c>
    </row>
    <row r="5102" spans="1:12">
      <c r="A5102" s="183" t="s">
        <v>1651</v>
      </c>
      <c r="B5102" s="183" t="s">
        <v>1341</v>
      </c>
      <c r="C5102">
        <v>15570212</v>
      </c>
      <c r="D5102">
        <v>98</v>
      </c>
      <c r="E5102">
        <v>0</v>
      </c>
      <c r="F5102">
        <v>0</v>
      </c>
      <c r="G5102">
        <v>0</v>
      </c>
      <c r="H5102">
        <v>98</v>
      </c>
      <c r="I5102" s="183" t="s">
        <v>1342</v>
      </c>
      <c r="J5102" s="183" t="s">
        <v>12067</v>
      </c>
      <c r="K5102">
        <v>0</v>
      </c>
      <c r="L5102">
        <v>98</v>
      </c>
    </row>
    <row r="5103" spans="1:12">
      <c r="A5103" s="183" t="s">
        <v>1821</v>
      </c>
      <c r="B5103" s="183" t="s">
        <v>1341</v>
      </c>
      <c r="C5103">
        <v>15570215</v>
      </c>
      <c r="D5103">
        <v>106</v>
      </c>
      <c r="E5103">
        <v>0</v>
      </c>
      <c r="F5103">
        <v>0</v>
      </c>
      <c r="G5103">
        <v>0</v>
      </c>
      <c r="H5103">
        <v>106</v>
      </c>
      <c r="I5103" s="183" t="s">
        <v>1342</v>
      </c>
      <c r="J5103" s="183" t="s">
        <v>12053</v>
      </c>
      <c r="K5103">
        <v>0</v>
      </c>
      <c r="L5103">
        <v>106</v>
      </c>
    </row>
    <row r="5104" spans="1:12">
      <c r="A5104" s="183" t="s">
        <v>1985</v>
      </c>
      <c r="B5104" s="183" t="s">
        <v>1341</v>
      </c>
      <c r="C5104">
        <v>15570218</v>
      </c>
      <c r="D5104">
        <v>93</v>
      </c>
      <c r="E5104">
        <v>0</v>
      </c>
      <c r="F5104">
        <v>0</v>
      </c>
      <c r="G5104">
        <v>0</v>
      </c>
      <c r="H5104">
        <v>93</v>
      </c>
      <c r="I5104" s="183" t="s">
        <v>1342</v>
      </c>
      <c r="J5104" s="183" t="s">
        <v>12092</v>
      </c>
      <c r="K5104">
        <v>0</v>
      </c>
      <c r="L5104">
        <v>93</v>
      </c>
    </row>
    <row r="5105" spans="1:12">
      <c r="A5105" s="183" t="s">
        <v>1823</v>
      </c>
      <c r="B5105" s="183" t="s">
        <v>1371</v>
      </c>
      <c r="C5105">
        <v>17120206</v>
      </c>
      <c r="D5105">
        <v>95</v>
      </c>
      <c r="E5105">
        <v>0</v>
      </c>
      <c r="F5105">
        <v>0</v>
      </c>
      <c r="G5105">
        <v>0</v>
      </c>
      <c r="H5105">
        <v>95</v>
      </c>
      <c r="I5105" s="183" t="s">
        <v>1372</v>
      </c>
      <c r="J5105" s="183" t="s">
        <v>12060</v>
      </c>
      <c r="K5105">
        <v>0</v>
      </c>
      <c r="L5105">
        <v>95</v>
      </c>
    </row>
    <row r="5106" spans="1:12">
      <c r="A5106" s="183" t="s">
        <v>2306</v>
      </c>
      <c r="B5106" s="183" t="s">
        <v>1371</v>
      </c>
      <c r="C5106">
        <v>17120207</v>
      </c>
      <c r="D5106">
        <v>104</v>
      </c>
      <c r="E5106">
        <v>0</v>
      </c>
      <c r="F5106">
        <v>0</v>
      </c>
      <c r="G5106">
        <v>0</v>
      </c>
      <c r="H5106">
        <v>104</v>
      </c>
      <c r="I5106" s="183" t="s">
        <v>1372</v>
      </c>
      <c r="J5106" s="183" t="s">
        <v>12081</v>
      </c>
      <c r="K5106">
        <v>0</v>
      </c>
      <c r="L5106">
        <v>104</v>
      </c>
    </row>
    <row r="5107" spans="1:12">
      <c r="A5107" s="183" t="s">
        <v>2169</v>
      </c>
      <c r="B5107" s="183" t="s">
        <v>1371</v>
      </c>
      <c r="C5107">
        <v>17120214</v>
      </c>
      <c r="D5107">
        <v>82</v>
      </c>
      <c r="E5107">
        <v>0</v>
      </c>
      <c r="F5107">
        <v>0</v>
      </c>
      <c r="G5107">
        <v>0</v>
      </c>
      <c r="H5107">
        <v>82</v>
      </c>
      <c r="I5107" s="183" t="s">
        <v>1372</v>
      </c>
      <c r="J5107" s="183" t="s">
        <v>12085</v>
      </c>
      <c r="K5107">
        <v>0</v>
      </c>
      <c r="L5107">
        <v>82</v>
      </c>
    </row>
    <row r="5108" spans="1:12">
      <c r="A5108" s="183" t="s">
        <v>1500</v>
      </c>
      <c r="B5108" s="183" t="s">
        <v>1371</v>
      </c>
      <c r="C5108">
        <v>17120220</v>
      </c>
      <c r="D5108">
        <v>89</v>
      </c>
      <c r="E5108">
        <v>0</v>
      </c>
      <c r="F5108">
        <v>0</v>
      </c>
      <c r="G5108">
        <v>0</v>
      </c>
      <c r="H5108">
        <v>89</v>
      </c>
      <c r="I5108" s="183" t="s">
        <v>1372</v>
      </c>
      <c r="J5108" s="183" t="s">
        <v>12095</v>
      </c>
      <c r="K5108">
        <v>0</v>
      </c>
      <c r="L5108">
        <v>89</v>
      </c>
    </row>
    <row r="5109" spans="1:12">
      <c r="A5109" s="183" t="s">
        <v>2168</v>
      </c>
      <c r="B5109" s="183" t="s">
        <v>1371</v>
      </c>
      <c r="C5109">
        <v>17120222</v>
      </c>
      <c r="D5109">
        <v>118</v>
      </c>
      <c r="E5109">
        <v>0</v>
      </c>
      <c r="F5109">
        <v>0</v>
      </c>
      <c r="G5109">
        <v>0</v>
      </c>
      <c r="H5109">
        <v>118</v>
      </c>
      <c r="I5109" s="183" t="s">
        <v>1372</v>
      </c>
      <c r="J5109" s="183" t="s">
        <v>12081</v>
      </c>
      <c r="K5109">
        <v>0</v>
      </c>
      <c r="L5109">
        <v>118</v>
      </c>
    </row>
    <row r="5110" spans="1:12">
      <c r="A5110" s="183" t="s">
        <v>1506</v>
      </c>
      <c r="B5110" s="183" t="s">
        <v>1371</v>
      </c>
      <c r="C5110">
        <v>17120228</v>
      </c>
      <c r="D5110">
        <v>89</v>
      </c>
      <c r="E5110">
        <v>0</v>
      </c>
      <c r="F5110">
        <v>0</v>
      </c>
      <c r="G5110">
        <v>0</v>
      </c>
      <c r="H5110">
        <v>89</v>
      </c>
      <c r="I5110" s="183" t="s">
        <v>1372</v>
      </c>
      <c r="J5110" s="183" t="s">
        <v>12093</v>
      </c>
      <c r="K5110">
        <v>0</v>
      </c>
      <c r="L5110">
        <v>89</v>
      </c>
    </row>
    <row r="5111" spans="1:12">
      <c r="A5111" s="183" t="s">
        <v>1661</v>
      </c>
      <c r="B5111" s="183" t="s">
        <v>1550</v>
      </c>
      <c r="C5111">
        <v>17130205</v>
      </c>
      <c r="D5111">
        <v>169</v>
      </c>
      <c r="E5111">
        <v>0</v>
      </c>
      <c r="F5111">
        <v>0</v>
      </c>
      <c r="G5111">
        <v>0</v>
      </c>
      <c r="H5111">
        <v>169</v>
      </c>
      <c r="I5111" s="183" t="s">
        <v>1551</v>
      </c>
      <c r="J5111" s="183" t="s">
        <v>12093</v>
      </c>
      <c r="K5111">
        <v>0</v>
      </c>
      <c r="L5111">
        <v>169</v>
      </c>
    </row>
    <row r="5112" spans="1:12">
      <c r="A5112" s="183" t="s">
        <v>2472</v>
      </c>
      <c r="B5112" s="183" t="s">
        <v>1550</v>
      </c>
      <c r="C5112">
        <v>17130232</v>
      </c>
      <c r="D5112">
        <v>154</v>
      </c>
      <c r="E5112">
        <v>0</v>
      </c>
      <c r="F5112">
        <v>0</v>
      </c>
      <c r="G5112">
        <v>0</v>
      </c>
      <c r="H5112">
        <v>154</v>
      </c>
      <c r="I5112" s="183" t="s">
        <v>1551</v>
      </c>
      <c r="J5112" s="183" t="s">
        <v>12091</v>
      </c>
      <c r="K5112">
        <v>0</v>
      </c>
      <c r="L5112">
        <v>154</v>
      </c>
    </row>
    <row r="5113" spans="1:12">
      <c r="A5113" s="183" t="s">
        <v>1989</v>
      </c>
      <c r="B5113" s="183" t="s">
        <v>1411</v>
      </c>
      <c r="C5113">
        <v>17140209</v>
      </c>
      <c r="D5113">
        <v>101</v>
      </c>
      <c r="E5113">
        <v>0</v>
      </c>
      <c r="F5113">
        <v>0</v>
      </c>
      <c r="G5113">
        <v>0</v>
      </c>
      <c r="H5113">
        <v>101</v>
      </c>
      <c r="I5113" s="183" t="s">
        <v>1412</v>
      </c>
      <c r="J5113" s="183" t="s">
        <v>12095</v>
      </c>
      <c r="K5113">
        <v>0</v>
      </c>
      <c r="L5113">
        <v>101</v>
      </c>
    </row>
    <row r="5114" spans="1:12">
      <c r="A5114" s="183" t="s">
        <v>2307</v>
      </c>
      <c r="B5114" s="183" t="s">
        <v>1411</v>
      </c>
      <c r="C5114">
        <v>17140230</v>
      </c>
      <c r="D5114">
        <v>321</v>
      </c>
      <c r="E5114">
        <v>0</v>
      </c>
      <c r="F5114">
        <v>0</v>
      </c>
      <c r="G5114">
        <v>0</v>
      </c>
      <c r="H5114">
        <v>321</v>
      </c>
      <c r="I5114" s="183" t="s">
        <v>1412</v>
      </c>
      <c r="J5114" s="183" t="s">
        <v>12093</v>
      </c>
      <c r="K5114">
        <v>0</v>
      </c>
      <c r="L5114">
        <v>321</v>
      </c>
    </row>
    <row r="5115" spans="1:12">
      <c r="A5115" s="183" t="s">
        <v>3616</v>
      </c>
      <c r="B5115" s="183" t="s">
        <v>3574</v>
      </c>
      <c r="C5115">
        <v>8800245475517</v>
      </c>
      <c r="D5115">
        <v>626</v>
      </c>
      <c r="E5115">
        <v>0</v>
      </c>
      <c r="F5115">
        <v>0</v>
      </c>
      <c r="G5115">
        <v>0</v>
      </c>
      <c r="H5115">
        <v>626</v>
      </c>
      <c r="I5115" s="183" t="s">
        <v>3575</v>
      </c>
      <c r="J5115" s="183" t="s">
        <v>12081</v>
      </c>
      <c r="K5115">
        <v>0</v>
      </c>
      <c r="L5115">
        <v>626</v>
      </c>
    </row>
    <row r="5116" spans="1:12">
      <c r="A5116" s="183" t="s">
        <v>3583</v>
      </c>
      <c r="B5116" s="183" t="s">
        <v>3574</v>
      </c>
      <c r="C5116">
        <v>8800245475524</v>
      </c>
      <c r="D5116">
        <v>694</v>
      </c>
      <c r="E5116">
        <v>0</v>
      </c>
      <c r="F5116">
        <v>0</v>
      </c>
      <c r="G5116">
        <v>0</v>
      </c>
      <c r="H5116">
        <v>694</v>
      </c>
      <c r="I5116" s="183" t="s">
        <v>3575</v>
      </c>
      <c r="J5116" s="183" t="s">
        <v>12081</v>
      </c>
      <c r="K5116">
        <v>0</v>
      </c>
      <c r="L5116">
        <v>694</v>
      </c>
    </row>
    <row r="5117" spans="1:12">
      <c r="A5117" s="183" t="s">
        <v>2093</v>
      </c>
      <c r="B5117" s="183" t="s">
        <v>1426</v>
      </c>
      <c r="C5117" t="s">
        <v>12098</v>
      </c>
      <c r="D5117">
        <v>25</v>
      </c>
      <c r="E5117">
        <v>0</v>
      </c>
      <c r="F5117">
        <v>0</v>
      </c>
      <c r="G5117">
        <v>0</v>
      </c>
      <c r="H5117">
        <v>25</v>
      </c>
      <c r="I5117" s="183" t="s">
        <v>1427</v>
      </c>
      <c r="J5117" s="183" t="s">
        <v>12066</v>
      </c>
      <c r="K5117">
        <v>0</v>
      </c>
      <c r="L5117">
        <v>25</v>
      </c>
    </row>
    <row r="5118" spans="1:12">
      <c r="A5118" s="183" t="s">
        <v>2599</v>
      </c>
      <c r="B5118" s="183" t="s">
        <v>1330</v>
      </c>
      <c r="C5118">
        <v>15550208</v>
      </c>
      <c r="D5118">
        <v>104</v>
      </c>
      <c r="E5118">
        <v>0</v>
      </c>
      <c r="F5118">
        <v>0</v>
      </c>
      <c r="G5118">
        <v>0</v>
      </c>
      <c r="H5118">
        <v>104</v>
      </c>
      <c r="I5118" s="183" t="s">
        <v>1331</v>
      </c>
      <c r="J5118" s="183" t="s">
        <v>12081</v>
      </c>
      <c r="K5118">
        <v>0</v>
      </c>
      <c r="L5118">
        <v>104</v>
      </c>
    </row>
    <row r="5119" spans="1:12">
      <c r="A5119" s="183" t="s">
        <v>1593</v>
      </c>
      <c r="B5119" s="183" t="s">
        <v>1330</v>
      </c>
      <c r="C5119">
        <v>15550213</v>
      </c>
      <c r="D5119">
        <v>54</v>
      </c>
      <c r="E5119">
        <v>0</v>
      </c>
      <c r="F5119">
        <v>0</v>
      </c>
      <c r="G5119">
        <v>0</v>
      </c>
      <c r="H5119">
        <v>54</v>
      </c>
      <c r="I5119" s="183" t="s">
        <v>1331</v>
      </c>
      <c r="J5119" s="183" t="s">
        <v>12081</v>
      </c>
      <c r="K5119">
        <v>0</v>
      </c>
      <c r="L5119">
        <v>54</v>
      </c>
    </row>
    <row r="5120" spans="1:12">
      <c r="A5120" s="183" t="s">
        <v>1581</v>
      </c>
      <c r="B5120" s="183" t="s">
        <v>1330</v>
      </c>
      <c r="C5120">
        <v>15550232</v>
      </c>
      <c r="D5120">
        <v>74</v>
      </c>
      <c r="E5120">
        <v>0</v>
      </c>
      <c r="F5120">
        <v>0</v>
      </c>
      <c r="G5120">
        <v>0</v>
      </c>
      <c r="H5120">
        <v>74</v>
      </c>
      <c r="I5120" s="183" t="s">
        <v>1331</v>
      </c>
      <c r="J5120" s="183" t="s">
        <v>12092</v>
      </c>
      <c r="K5120">
        <v>0</v>
      </c>
      <c r="L5120">
        <v>74</v>
      </c>
    </row>
    <row r="5121" spans="1:12">
      <c r="A5121" s="183" t="s">
        <v>2604</v>
      </c>
      <c r="B5121" s="183" t="s">
        <v>1458</v>
      </c>
      <c r="C5121">
        <v>15560209</v>
      </c>
      <c r="D5121">
        <v>106</v>
      </c>
      <c r="E5121">
        <v>0</v>
      </c>
      <c r="F5121">
        <v>0</v>
      </c>
      <c r="G5121">
        <v>0</v>
      </c>
      <c r="H5121">
        <v>106</v>
      </c>
      <c r="I5121" s="183" t="s">
        <v>1459</v>
      </c>
      <c r="J5121" s="183" t="s">
        <v>12059</v>
      </c>
      <c r="K5121">
        <v>0</v>
      </c>
      <c r="L5121">
        <v>106</v>
      </c>
    </row>
    <row r="5122" spans="1:12">
      <c r="A5122" s="183" t="s">
        <v>2375</v>
      </c>
      <c r="B5122" s="183" t="s">
        <v>1458</v>
      </c>
      <c r="C5122">
        <v>15560210</v>
      </c>
      <c r="D5122">
        <v>22</v>
      </c>
      <c r="E5122">
        <v>0</v>
      </c>
      <c r="F5122">
        <v>0</v>
      </c>
      <c r="G5122">
        <v>0</v>
      </c>
      <c r="H5122">
        <v>22</v>
      </c>
      <c r="I5122" s="183" t="s">
        <v>1459</v>
      </c>
      <c r="J5122" s="183" t="s">
        <v>12092</v>
      </c>
      <c r="K5122">
        <v>0</v>
      </c>
      <c r="L5122">
        <v>22</v>
      </c>
    </row>
    <row r="5123" spans="1:12">
      <c r="A5123" s="183" t="s">
        <v>1589</v>
      </c>
      <c r="B5123" s="183" t="s">
        <v>1458</v>
      </c>
      <c r="C5123">
        <v>15560226</v>
      </c>
      <c r="D5123">
        <v>112</v>
      </c>
      <c r="E5123">
        <v>0</v>
      </c>
      <c r="F5123">
        <v>0</v>
      </c>
      <c r="G5123">
        <v>0</v>
      </c>
      <c r="H5123">
        <v>112</v>
      </c>
      <c r="I5123" s="183" t="s">
        <v>1459</v>
      </c>
      <c r="J5123" s="183" t="s">
        <v>12081</v>
      </c>
      <c r="K5123">
        <v>0</v>
      </c>
      <c r="L5123">
        <v>112</v>
      </c>
    </row>
    <row r="5124" spans="1:12">
      <c r="A5124" s="183" t="s">
        <v>2075</v>
      </c>
      <c r="B5124" s="183" t="s">
        <v>1341</v>
      </c>
      <c r="C5124">
        <v>15570213</v>
      </c>
      <c r="D5124">
        <v>107</v>
      </c>
      <c r="E5124">
        <v>0</v>
      </c>
      <c r="F5124">
        <v>0</v>
      </c>
      <c r="G5124">
        <v>0</v>
      </c>
      <c r="H5124">
        <v>107</v>
      </c>
      <c r="I5124" s="183" t="s">
        <v>1342</v>
      </c>
      <c r="J5124" s="183" t="s">
        <v>12059</v>
      </c>
      <c r="K5124">
        <v>0</v>
      </c>
      <c r="L5124">
        <v>107</v>
      </c>
    </row>
    <row r="5125" spans="1:12">
      <c r="A5125" s="183" t="s">
        <v>1941</v>
      </c>
      <c r="B5125" s="183" t="s">
        <v>1371</v>
      </c>
      <c r="C5125">
        <v>17120218</v>
      </c>
      <c r="D5125">
        <v>101</v>
      </c>
      <c r="E5125">
        <v>0</v>
      </c>
      <c r="F5125">
        <v>0</v>
      </c>
      <c r="G5125">
        <v>0</v>
      </c>
      <c r="H5125">
        <v>101</v>
      </c>
      <c r="I5125" s="183" t="s">
        <v>1372</v>
      </c>
      <c r="J5125" s="183" t="s">
        <v>12087</v>
      </c>
      <c r="K5125">
        <v>0</v>
      </c>
      <c r="L5125">
        <v>101</v>
      </c>
    </row>
    <row r="5126" spans="1:12">
      <c r="A5126" s="183" t="s">
        <v>2584</v>
      </c>
      <c r="B5126" s="183" t="s">
        <v>1550</v>
      </c>
      <c r="C5126">
        <v>17130206</v>
      </c>
      <c r="D5126">
        <v>63</v>
      </c>
      <c r="E5126">
        <v>0</v>
      </c>
      <c r="F5126">
        <v>0</v>
      </c>
      <c r="G5126">
        <v>0</v>
      </c>
      <c r="H5126">
        <v>63</v>
      </c>
      <c r="I5126" s="183" t="s">
        <v>1551</v>
      </c>
      <c r="J5126" s="183" t="s">
        <v>12050</v>
      </c>
      <c r="K5126">
        <v>0</v>
      </c>
      <c r="L5126">
        <v>63</v>
      </c>
    </row>
    <row r="5127" spans="1:12">
      <c r="A5127" s="183" t="s">
        <v>1942</v>
      </c>
      <c r="B5127" s="183" t="s">
        <v>1550</v>
      </c>
      <c r="C5127">
        <v>17130211</v>
      </c>
      <c r="D5127">
        <v>197</v>
      </c>
      <c r="E5127">
        <v>0</v>
      </c>
      <c r="F5127">
        <v>0</v>
      </c>
      <c r="G5127">
        <v>0</v>
      </c>
      <c r="H5127">
        <v>197</v>
      </c>
      <c r="I5127" s="183" t="s">
        <v>1551</v>
      </c>
      <c r="J5127" s="183" t="s">
        <v>12087</v>
      </c>
      <c r="K5127">
        <v>0</v>
      </c>
      <c r="L5127">
        <v>197</v>
      </c>
    </row>
    <row r="5128" spans="1:12">
      <c r="A5128" s="183" t="s">
        <v>1937</v>
      </c>
      <c r="B5128" s="183" t="s">
        <v>1550</v>
      </c>
      <c r="C5128">
        <v>17130215</v>
      </c>
      <c r="D5128">
        <v>88</v>
      </c>
      <c r="E5128">
        <v>0</v>
      </c>
      <c r="F5128">
        <v>0</v>
      </c>
      <c r="G5128">
        <v>0</v>
      </c>
      <c r="H5128">
        <v>88</v>
      </c>
      <c r="I5128" s="183" t="s">
        <v>1551</v>
      </c>
      <c r="J5128" s="183" t="s">
        <v>12081</v>
      </c>
      <c r="K5128">
        <v>0</v>
      </c>
      <c r="L5128">
        <v>88</v>
      </c>
    </row>
    <row r="5129" spans="1:12">
      <c r="A5129" s="183" t="s">
        <v>1762</v>
      </c>
      <c r="B5129" s="183" t="s">
        <v>1550</v>
      </c>
      <c r="C5129">
        <v>17130226</v>
      </c>
      <c r="D5129">
        <v>112</v>
      </c>
      <c r="E5129">
        <v>0</v>
      </c>
      <c r="F5129">
        <v>0</v>
      </c>
      <c r="G5129">
        <v>0</v>
      </c>
      <c r="H5129">
        <v>112</v>
      </c>
      <c r="I5129" s="183" t="s">
        <v>1551</v>
      </c>
      <c r="J5129" s="183" t="s">
        <v>12081</v>
      </c>
      <c r="K5129">
        <v>0</v>
      </c>
      <c r="L5129">
        <v>112</v>
      </c>
    </row>
    <row r="5130" spans="1:12">
      <c r="A5130" s="183" t="s">
        <v>1410</v>
      </c>
      <c r="B5130" s="183" t="s">
        <v>1411</v>
      </c>
      <c r="C5130">
        <v>17140205</v>
      </c>
      <c r="D5130">
        <v>73</v>
      </c>
      <c r="E5130">
        <v>0</v>
      </c>
      <c r="F5130">
        <v>0</v>
      </c>
      <c r="G5130">
        <v>0</v>
      </c>
      <c r="H5130">
        <v>73</v>
      </c>
      <c r="I5130" s="183" t="s">
        <v>1412</v>
      </c>
      <c r="J5130" s="183" t="s">
        <v>12087</v>
      </c>
      <c r="K5130">
        <v>0</v>
      </c>
      <c r="L5130">
        <v>73</v>
      </c>
    </row>
    <row r="5131" spans="1:12">
      <c r="A5131" s="183" t="s">
        <v>2250</v>
      </c>
      <c r="B5131" s="183" t="s">
        <v>1411</v>
      </c>
      <c r="C5131">
        <v>17140212</v>
      </c>
      <c r="D5131">
        <v>139</v>
      </c>
      <c r="E5131">
        <v>0</v>
      </c>
      <c r="F5131">
        <v>0</v>
      </c>
      <c r="G5131">
        <v>0</v>
      </c>
      <c r="H5131">
        <v>139</v>
      </c>
      <c r="I5131" s="183" t="s">
        <v>1412</v>
      </c>
      <c r="J5131" s="183" t="s">
        <v>12063</v>
      </c>
      <c r="K5131">
        <v>0</v>
      </c>
      <c r="L5131">
        <v>139</v>
      </c>
    </row>
    <row r="5132" spans="1:12">
      <c r="A5132" s="183" t="s">
        <v>2251</v>
      </c>
      <c r="B5132" s="183" t="s">
        <v>1411</v>
      </c>
      <c r="C5132">
        <v>17140222</v>
      </c>
      <c r="D5132">
        <v>171</v>
      </c>
      <c r="E5132">
        <v>0</v>
      </c>
      <c r="F5132">
        <v>0</v>
      </c>
      <c r="G5132">
        <v>0</v>
      </c>
      <c r="H5132">
        <v>171</v>
      </c>
      <c r="I5132" s="183" t="s">
        <v>1412</v>
      </c>
      <c r="J5132" s="183" t="s">
        <v>12048</v>
      </c>
      <c r="K5132">
        <v>0</v>
      </c>
      <c r="L5132">
        <v>171</v>
      </c>
    </row>
    <row r="5133" spans="1:12">
      <c r="A5133" s="183" t="s">
        <v>2579</v>
      </c>
      <c r="B5133" s="183" t="s">
        <v>1411</v>
      </c>
      <c r="C5133">
        <v>17140232</v>
      </c>
      <c r="D5133">
        <v>385</v>
      </c>
      <c r="E5133">
        <v>0</v>
      </c>
      <c r="F5133">
        <v>0</v>
      </c>
      <c r="G5133">
        <v>0</v>
      </c>
      <c r="H5133">
        <v>385</v>
      </c>
      <c r="I5133" s="183" t="s">
        <v>1412</v>
      </c>
      <c r="J5133" s="183" t="s">
        <v>12094</v>
      </c>
      <c r="K5133">
        <v>0</v>
      </c>
      <c r="L5133">
        <v>385</v>
      </c>
    </row>
    <row r="5134" spans="1:12">
      <c r="A5134" s="183" t="s">
        <v>1627</v>
      </c>
      <c r="B5134" s="183" t="s">
        <v>1330</v>
      </c>
      <c r="C5134">
        <v>15550207</v>
      </c>
      <c r="D5134">
        <v>82</v>
      </c>
      <c r="E5134">
        <v>0</v>
      </c>
      <c r="F5134">
        <v>0</v>
      </c>
      <c r="G5134">
        <v>0</v>
      </c>
      <c r="H5134">
        <v>82</v>
      </c>
      <c r="I5134" s="183" t="s">
        <v>1331</v>
      </c>
      <c r="J5134" s="183" t="s">
        <v>12059</v>
      </c>
      <c r="K5134">
        <v>0</v>
      </c>
      <c r="L5134">
        <v>82</v>
      </c>
    </row>
    <row r="5135" spans="1:12">
      <c r="A5135" s="183" t="s">
        <v>1329</v>
      </c>
      <c r="B5135" s="183" t="s">
        <v>1330</v>
      </c>
      <c r="C5135">
        <v>15550209</v>
      </c>
      <c r="D5135">
        <v>37</v>
      </c>
      <c r="E5135">
        <v>0</v>
      </c>
      <c r="F5135">
        <v>0</v>
      </c>
      <c r="G5135">
        <v>0</v>
      </c>
      <c r="H5135">
        <v>37</v>
      </c>
      <c r="I5135" s="183" t="s">
        <v>1331</v>
      </c>
      <c r="J5135" s="183" t="s">
        <v>12094</v>
      </c>
      <c r="K5135">
        <v>0</v>
      </c>
      <c r="L5135">
        <v>37</v>
      </c>
    </row>
    <row r="5136" spans="1:12">
      <c r="A5136" s="183" t="s">
        <v>2289</v>
      </c>
      <c r="B5136" s="183" t="s">
        <v>1330</v>
      </c>
      <c r="C5136">
        <v>15550216</v>
      </c>
      <c r="D5136">
        <v>22</v>
      </c>
      <c r="E5136">
        <v>0</v>
      </c>
      <c r="F5136">
        <v>0</v>
      </c>
      <c r="G5136">
        <v>0</v>
      </c>
      <c r="H5136">
        <v>22</v>
      </c>
      <c r="I5136" s="183" t="s">
        <v>1331</v>
      </c>
      <c r="J5136" s="183" t="s">
        <v>12087</v>
      </c>
      <c r="K5136">
        <v>0</v>
      </c>
      <c r="L5136">
        <v>22</v>
      </c>
    </row>
    <row r="5137" spans="1:12">
      <c r="A5137" s="183" t="s">
        <v>1969</v>
      </c>
      <c r="B5137" s="183" t="s">
        <v>1330</v>
      </c>
      <c r="C5137">
        <v>15550228</v>
      </c>
      <c r="D5137">
        <v>141</v>
      </c>
      <c r="E5137">
        <v>0</v>
      </c>
      <c r="F5137">
        <v>0</v>
      </c>
      <c r="G5137">
        <v>0</v>
      </c>
      <c r="H5137">
        <v>141</v>
      </c>
      <c r="I5137" s="183" t="s">
        <v>1331</v>
      </c>
      <c r="J5137" s="183" t="s">
        <v>12081</v>
      </c>
      <c r="K5137">
        <v>0</v>
      </c>
      <c r="L5137">
        <v>141</v>
      </c>
    </row>
    <row r="5138" spans="1:12">
      <c r="A5138" s="183" t="s">
        <v>2292</v>
      </c>
      <c r="B5138" s="183" t="s">
        <v>1330</v>
      </c>
      <c r="C5138">
        <v>15550230</v>
      </c>
      <c r="D5138">
        <v>112</v>
      </c>
      <c r="E5138">
        <v>0</v>
      </c>
      <c r="F5138">
        <v>0</v>
      </c>
      <c r="G5138">
        <v>0</v>
      </c>
      <c r="H5138">
        <v>112</v>
      </c>
      <c r="I5138" s="183" t="s">
        <v>1331</v>
      </c>
      <c r="J5138" s="183" t="s">
        <v>12091</v>
      </c>
      <c r="K5138">
        <v>0</v>
      </c>
      <c r="L5138">
        <v>112</v>
      </c>
    </row>
    <row r="5139" spans="1:12">
      <c r="A5139" s="183" t="s">
        <v>1796</v>
      </c>
      <c r="B5139" s="183" t="s">
        <v>1458</v>
      </c>
      <c r="C5139">
        <v>15560202</v>
      </c>
      <c r="D5139">
        <v>101</v>
      </c>
      <c r="E5139">
        <v>0</v>
      </c>
      <c r="F5139">
        <v>0</v>
      </c>
      <c r="G5139">
        <v>0</v>
      </c>
      <c r="H5139">
        <v>101</v>
      </c>
      <c r="I5139" s="183" t="s">
        <v>1459</v>
      </c>
      <c r="J5139" s="183" t="s">
        <v>12053</v>
      </c>
      <c r="K5139">
        <v>0</v>
      </c>
      <c r="L5139">
        <v>101</v>
      </c>
    </row>
    <row r="5140" spans="1:12">
      <c r="A5140" s="183" t="s">
        <v>1794</v>
      </c>
      <c r="B5140" s="183" t="s">
        <v>1458</v>
      </c>
      <c r="C5140">
        <v>15560212</v>
      </c>
      <c r="D5140">
        <v>89</v>
      </c>
      <c r="E5140">
        <v>0</v>
      </c>
      <c r="F5140">
        <v>0</v>
      </c>
      <c r="G5140">
        <v>0</v>
      </c>
      <c r="H5140">
        <v>89</v>
      </c>
      <c r="I5140" s="183" t="s">
        <v>1459</v>
      </c>
      <c r="J5140" s="183" t="s">
        <v>12093</v>
      </c>
      <c r="K5140">
        <v>0</v>
      </c>
      <c r="L5140">
        <v>89</v>
      </c>
    </row>
    <row r="5141" spans="1:12">
      <c r="A5141" s="183" t="s">
        <v>1457</v>
      </c>
      <c r="B5141" s="183" t="s">
        <v>1458</v>
      </c>
      <c r="C5141">
        <v>15560232</v>
      </c>
      <c r="D5141">
        <v>25</v>
      </c>
      <c r="E5141">
        <v>0</v>
      </c>
      <c r="F5141">
        <v>0</v>
      </c>
      <c r="G5141">
        <v>0</v>
      </c>
      <c r="H5141">
        <v>25</v>
      </c>
      <c r="I5141" s="183" t="s">
        <v>1459</v>
      </c>
      <c r="J5141" s="183" t="s">
        <v>12053</v>
      </c>
      <c r="K5141">
        <v>0</v>
      </c>
      <c r="L5141">
        <v>25</v>
      </c>
    </row>
    <row r="5142" spans="1:12">
      <c r="A5142" s="183" t="s">
        <v>1798</v>
      </c>
      <c r="B5142" s="183" t="s">
        <v>1341</v>
      </c>
      <c r="C5142">
        <v>15570204</v>
      </c>
      <c r="D5142">
        <v>94</v>
      </c>
      <c r="E5142">
        <v>0</v>
      </c>
      <c r="F5142">
        <v>0</v>
      </c>
      <c r="G5142">
        <v>0</v>
      </c>
      <c r="H5142">
        <v>94</v>
      </c>
      <c r="I5142" s="183" t="s">
        <v>1342</v>
      </c>
      <c r="J5142" s="183" t="s">
        <v>12059</v>
      </c>
      <c r="K5142">
        <v>0</v>
      </c>
      <c r="L5142">
        <v>94</v>
      </c>
    </row>
    <row r="5143" spans="1:12">
      <c r="A5143" s="183" t="s">
        <v>1340</v>
      </c>
      <c r="B5143" s="183" t="s">
        <v>1341</v>
      </c>
      <c r="C5143">
        <v>15570208</v>
      </c>
      <c r="D5143">
        <v>55</v>
      </c>
      <c r="E5143">
        <v>0</v>
      </c>
      <c r="F5143">
        <v>0</v>
      </c>
      <c r="G5143">
        <v>0</v>
      </c>
      <c r="H5143">
        <v>55</v>
      </c>
      <c r="I5143" s="183" t="s">
        <v>1342</v>
      </c>
      <c r="J5143" s="183" t="s">
        <v>12053</v>
      </c>
      <c r="K5143">
        <v>0</v>
      </c>
      <c r="L5143">
        <v>55</v>
      </c>
    </row>
    <row r="5144" spans="1:12">
      <c r="A5144" s="183" t="s">
        <v>1797</v>
      </c>
      <c r="B5144" s="183" t="s">
        <v>1341</v>
      </c>
      <c r="C5144">
        <v>15570222</v>
      </c>
      <c r="D5144">
        <v>97</v>
      </c>
      <c r="E5144">
        <v>0</v>
      </c>
      <c r="F5144">
        <v>0</v>
      </c>
      <c r="G5144">
        <v>0</v>
      </c>
      <c r="H5144">
        <v>97</v>
      </c>
      <c r="I5144" s="183" t="s">
        <v>1342</v>
      </c>
      <c r="J5144" s="183" t="s">
        <v>12093</v>
      </c>
      <c r="K5144">
        <v>0</v>
      </c>
      <c r="L5144">
        <v>97</v>
      </c>
    </row>
    <row r="5145" spans="1:12">
      <c r="A5145" s="183" t="s">
        <v>2440</v>
      </c>
      <c r="B5145" s="183" t="s">
        <v>1550</v>
      </c>
      <c r="C5145">
        <v>17130200</v>
      </c>
      <c r="D5145">
        <v>128</v>
      </c>
      <c r="E5145">
        <v>0</v>
      </c>
      <c r="F5145">
        <v>0</v>
      </c>
      <c r="G5145">
        <v>0</v>
      </c>
      <c r="H5145">
        <v>128</v>
      </c>
      <c r="I5145" s="183" t="s">
        <v>1551</v>
      </c>
      <c r="J5145" s="183" t="s">
        <v>12093</v>
      </c>
      <c r="K5145">
        <v>0</v>
      </c>
      <c r="L5145">
        <v>128</v>
      </c>
    </row>
    <row r="5146" spans="1:12">
      <c r="A5146" s="183" t="s">
        <v>1799</v>
      </c>
      <c r="B5146" s="183" t="s">
        <v>1550</v>
      </c>
      <c r="C5146">
        <v>17130219</v>
      </c>
      <c r="D5146">
        <v>122</v>
      </c>
      <c r="E5146">
        <v>0</v>
      </c>
      <c r="F5146">
        <v>0</v>
      </c>
      <c r="G5146">
        <v>0</v>
      </c>
      <c r="H5146">
        <v>122</v>
      </c>
      <c r="I5146" s="183" t="s">
        <v>1551</v>
      </c>
      <c r="J5146" s="183" t="s">
        <v>12091</v>
      </c>
      <c r="K5146">
        <v>0</v>
      </c>
      <c r="L5146">
        <v>122</v>
      </c>
    </row>
    <row r="5147" spans="1:12">
      <c r="A5147" s="183" t="s">
        <v>1464</v>
      </c>
      <c r="B5147" s="183" t="s">
        <v>1411</v>
      </c>
      <c r="C5147">
        <v>17140206</v>
      </c>
      <c r="D5147">
        <v>138</v>
      </c>
      <c r="E5147">
        <v>0</v>
      </c>
      <c r="F5147">
        <v>0</v>
      </c>
      <c r="G5147">
        <v>0</v>
      </c>
      <c r="H5147">
        <v>138</v>
      </c>
      <c r="I5147" s="183" t="s">
        <v>1412</v>
      </c>
      <c r="J5147" s="183" t="s">
        <v>12066</v>
      </c>
      <c r="K5147">
        <v>0</v>
      </c>
      <c r="L5147">
        <v>138</v>
      </c>
    </row>
    <row r="5148" spans="1:12">
      <c r="A5148" s="183" t="s">
        <v>1972</v>
      </c>
      <c r="B5148" s="183" t="s">
        <v>1411</v>
      </c>
      <c r="C5148">
        <v>17140224</v>
      </c>
      <c r="D5148">
        <v>164</v>
      </c>
      <c r="E5148">
        <v>0</v>
      </c>
      <c r="F5148">
        <v>0</v>
      </c>
      <c r="G5148">
        <v>0</v>
      </c>
      <c r="H5148">
        <v>164</v>
      </c>
      <c r="I5148" s="183" t="s">
        <v>1412</v>
      </c>
      <c r="J5148" s="183" t="s">
        <v>12067</v>
      </c>
      <c r="K5148">
        <v>0</v>
      </c>
      <c r="L5148">
        <v>164</v>
      </c>
    </row>
    <row r="5149" spans="1:12">
      <c r="A5149" s="183" t="s">
        <v>2879</v>
      </c>
      <c r="B5149" s="183" t="s">
        <v>1330</v>
      </c>
      <c r="C5149">
        <v>15550226</v>
      </c>
      <c r="D5149">
        <v>114</v>
      </c>
      <c r="E5149">
        <v>0</v>
      </c>
      <c r="F5149">
        <v>0</v>
      </c>
      <c r="G5149">
        <v>0</v>
      </c>
      <c r="H5149">
        <v>114</v>
      </c>
      <c r="I5149" s="183" t="s">
        <v>1331</v>
      </c>
      <c r="J5149" s="183" t="s">
        <v>12093</v>
      </c>
      <c r="K5149">
        <v>0</v>
      </c>
      <c r="L5149">
        <v>114</v>
      </c>
    </row>
    <row r="5150" spans="1:12">
      <c r="A5150" s="183" t="s">
        <v>2899</v>
      </c>
      <c r="B5150" s="183" t="s">
        <v>1458</v>
      </c>
      <c r="C5150">
        <v>15560204</v>
      </c>
      <c r="D5150">
        <v>63</v>
      </c>
      <c r="E5150">
        <v>0</v>
      </c>
      <c r="F5150">
        <v>0</v>
      </c>
      <c r="G5150">
        <v>0</v>
      </c>
      <c r="H5150">
        <v>63</v>
      </c>
      <c r="I5150" s="183" t="s">
        <v>1459</v>
      </c>
      <c r="J5150" s="183" t="s">
        <v>12094</v>
      </c>
      <c r="K5150">
        <v>0</v>
      </c>
      <c r="L5150">
        <v>63</v>
      </c>
    </row>
    <row r="5151" spans="1:12">
      <c r="A5151" s="183" t="s">
        <v>2856</v>
      </c>
      <c r="B5151" s="183" t="s">
        <v>1458</v>
      </c>
      <c r="C5151">
        <v>15560220</v>
      </c>
      <c r="D5151">
        <v>81</v>
      </c>
      <c r="E5151">
        <v>0</v>
      </c>
      <c r="F5151">
        <v>0</v>
      </c>
      <c r="G5151">
        <v>0</v>
      </c>
      <c r="H5151">
        <v>81</v>
      </c>
      <c r="I5151" s="183" t="s">
        <v>1459</v>
      </c>
      <c r="J5151" s="183" t="s">
        <v>12053</v>
      </c>
      <c r="K5151">
        <v>0</v>
      </c>
      <c r="L5151">
        <v>81</v>
      </c>
    </row>
    <row r="5152" spans="1:12">
      <c r="A5152" s="183" t="s">
        <v>2891</v>
      </c>
      <c r="B5152" s="183" t="s">
        <v>1341</v>
      </c>
      <c r="C5152">
        <v>15570205</v>
      </c>
      <c r="D5152">
        <v>112</v>
      </c>
      <c r="E5152">
        <v>0</v>
      </c>
      <c r="F5152">
        <v>0</v>
      </c>
      <c r="G5152">
        <v>0</v>
      </c>
      <c r="H5152">
        <v>112</v>
      </c>
      <c r="I5152" s="183" t="s">
        <v>1342</v>
      </c>
      <c r="J5152" s="183" t="s">
        <v>12053</v>
      </c>
      <c r="K5152">
        <v>0</v>
      </c>
      <c r="L5152">
        <v>112</v>
      </c>
    </row>
    <row r="5153" spans="1:12">
      <c r="A5153" s="183" t="s">
        <v>2750</v>
      </c>
      <c r="B5153" s="183" t="s">
        <v>1341</v>
      </c>
      <c r="C5153">
        <v>15570210</v>
      </c>
      <c r="D5153">
        <v>145</v>
      </c>
      <c r="E5153">
        <v>0</v>
      </c>
      <c r="F5153">
        <v>0</v>
      </c>
      <c r="G5153">
        <v>0</v>
      </c>
      <c r="H5153">
        <v>145</v>
      </c>
      <c r="I5153" s="183" t="s">
        <v>1342</v>
      </c>
      <c r="J5153" s="183" t="s">
        <v>12067</v>
      </c>
      <c r="K5153">
        <v>0</v>
      </c>
      <c r="L5153">
        <v>145</v>
      </c>
    </row>
    <row r="5154" spans="1:12">
      <c r="A5154" s="183" t="s">
        <v>2755</v>
      </c>
      <c r="B5154" s="183" t="s">
        <v>1341</v>
      </c>
      <c r="C5154">
        <v>15570211</v>
      </c>
      <c r="D5154">
        <v>111</v>
      </c>
      <c r="E5154">
        <v>0</v>
      </c>
      <c r="F5154">
        <v>0</v>
      </c>
      <c r="G5154">
        <v>0</v>
      </c>
      <c r="H5154">
        <v>111</v>
      </c>
      <c r="I5154" s="183" t="s">
        <v>1342</v>
      </c>
      <c r="J5154" s="183" t="s">
        <v>12081</v>
      </c>
      <c r="K5154">
        <v>0</v>
      </c>
      <c r="L5154">
        <v>111</v>
      </c>
    </row>
    <row r="5155" spans="1:12">
      <c r="A5155" s="183" t="s">
        <v>2848</v>
      </c>
      <c r="B5155" s="183" t="s">
        <v>1371</v>
      </c>
      <c r="C5155">
        <v>17120202</v>
      </c>
      <c r="D5155">
        <v>152</v>
      </c>
      <c r="E5155">
        <v>0</v>
      </c>
      <c r="F5155">
        <v>0</v>
      </c>
      <c r="G5155">
        <v>0</v>
      </c>
      <c r="H5155">
        <v>152</v>
      </c>
      <c r="I5155" s="183" t="s">
        <v>1372</v>
      </c>
      <c r="J5155" s="183" t="s">
        <v>12048</v>
      </c>
      <c r="K5155">
        <v>0</v>
      </c>
      <c r="L5155">
        <v>152</v>
      </c>
    </row>
    <row r="5156" spans="1:12">
      <c r="A5156" s="183" t="s">
        <v>2892</v>
      </c>
      <c r="B5156" s="183" t="s">
        <v>1371</v>
      </c>
      <c r="C5156">
        <v>17120211</v>
      </c>
      <c r="D5156">
        <v>82</v>
      </c>
      <c r="E5156">
        <v>0</v>
      </c>
      <c r="F5156">
        <v>0</v>
      </c>
      <c r="G5156">
        <v>0</v>
      </c>
      <c r="H5156">
        <v>82</v>
      </c>
      <c r="I5156" s="183" t="s">
        <v>1372</v>
      </c>
      <c r="J5156" s="183" t="s">
        <v>12059</v>
      </c>
      <c r="K5156">
        <v>0</v>
      </c>
      <c r="L5156">
        <v>82</v>
      </c>
    </row>
    <row r="5157" spans="1:12">
      <c r="A5157" s="183" t="s">
        <v>2756</v>
      </c>
      <c r="B5157" s="183" t="s">
        <v>1371</v>
      </c>
      <c r="C5157">
        <v>17120216</v>
      </c>
      <c r="D5157">
        <v>151</v>
      </c>
      <c r="E5157">
        <v>0</v>
      </c>
      <c r="F5157">
        <v>0</v>
      </c>
      <c r="G5157">
        <v>0</v>
      </c>
      <c r="H5157">
        <v>151</v>
      </c>
      <c r="I5157" s="183" t="s">
        <v>1372</v>
      </c>
      <c r="J5157" s="183" t="s">
        <v>12054</v>
      </c>
      <c r="K5157">
        <v>0</v>
      </c>
      <c r="L5157">
        <v>151</v>
      </c>
    </row>
    <row r="5158" spans="1:12">
      <c r="A5158" s="183" t="s">
        <v>2826</v>
      </c>
      <c r="B5158" s="183" t="s">
        <v>1550</v>
      </c>
      <c r="C5158">
        <v>17130207</v>
      </c>
      <c r="D5158">
        <v>98</v>
      </c>
      <c r="E5158">
        <v>0</v>
      </c>
      <c r="F5158">
        <v>0</v>
      </c>
      <c r="G5158">
        <v>0</v>
      </c>
      <c r="H5158">
        <v>98</v>
      </c>
      <c r="I5158" s="183" t="s">
        <v>1551</v>
      </c>
      <c r="J5158" s="183" t="s">
        <v>12095</v>
      </c>
      <c r="K5158">
        <v>0</v>
      </c>
      <c r="L5158">
        <v>98</v>
      </c>
    </row>
    <row r="5159" spans="1:12">
      <c r="A5159" s="183" t="s">
        <v>2904</v>
      </c>
      <c r="B5159" s="183" t="s">
        <v>1550</v>
      </c>
      <c r="C5159">
        <v>17130212</v>
      </c>
      <c r="D5159">
        <v>101</v>
      </c>
      <c r="E5159">
        <v>0</v>
      </c>
      <c r="F5159">
        <v>0</v>
      </c>
      <c r="G5159">
        <v>0</v>
      </c>
      <c r="H5159">
        <v>101</v>
      </c>
      <c r="I5159" s="183" t="s">
        <v>1551</v>
      </c>
      <c r="J5159" s="183" t="s">
        <v>12085</v>
      </c>
      <c r="K5159">
        <v>0</v>
      </c>
      <c r="L5159">
        <v>101</v>
      </c>
    </row>
    <row r="5160" spans="1:12">
      <c r="A5160" s="183" t="s">
        <v>2863</v>
      </c>
      <c r="B5160" s="183" t="s">
        <v>1550</v>
      </c>
      <c r="C5160">
        <v>17130213</v>
      </c>
      <c r="D5160">
        <v>182</v>
      </c>
      <c r="E5160">
        <v>0</v>
      </c>
      <c r="F5160">
        <v>0</v>
      </c>
      <c r="G5160">
        <v>0</v>
      </c>
      <c r="H5160">
        <v>182</v>
      </c>
      <c r="I5160" s="183" t="s">
        <v>1551</v>
      </c>
      <c r="J5160" s="183" t="s">
        <v>12087</v>
      </c>
      <c r="K5160">
        <v>0</v>
      </c>
      <c r="L5160">
        <v>182</v>
      </c>
    </row>
    <row r="5161" spans="1:12">
      <c r="A5161" s="183" t="s">
        <v>2882</v>
      </c>
      <c r="B5161" s="183" t="s">
        <v>1411</v>
      </c>
      <c r="C5161">
        <v>17140204</v>
      </c>
      <c r="D5161">
        <v>135</v>
      </c>
      <c r="E5161">
        <v>0</v>
      </c>
      <c r="F5161">
        <v>0</v>
      </c>
      <c r="G5161">
        <v>0</v>
      </c>
      <c r="H5161">
        <v>135</v>
      </c>
      <c r="I5161" s="183" t="s">
        <v>1412</v>
      </c>
      <c r="J5161" s="183" t="s">
        <v>12095</v>
      </c>
      <c r="K5161">
        <v>0</v>
      </c>
      <c r="L5161">
        <v>135</v>
      </c>
    </row>
    <row r="5162" spans="1:12">
      <c r="A5162" s="183" t="s">
        <v>2809</v>
      </c>
      <c r="B5162" s="183" t="s">
        <v>1411</v>
      </c>
      <c r="C5162">
        <v>17140213</v>
      </c>
      <c r="D5162">
        <v>163</v>
      </c>
      <c r="E5162">
        <v>0</v>
      </c>
      <c r="F5162">
        <v>0</v>
      </c>
      <c r="G5162">
        <v>0</v>
      </c>
      <c r="H5162">
        <v>163</v>
      </c>
      <c r="I5162" s="183" t="s">
        <v>1412</v>
      </c>
      <c r="J5162" s="183" t="s">
        <v>12085</v>
      </c>
      <c r="K5162">
        <v>0</v>
      </c>
      <c r="L5162">
        <v>163</v>
      </c>
    </row>
    <row r="5163" spans="1:12">
      <c r="A5163" s="183" t="s">
        <v>2814</v>
      </c>
      <c r="B5163" s="183" t="s">
        <v>1411</v>
      </c>
      <c r="C5163">
        <v>17140220</v>
      </c>
      <c r="D5163">
        <v>146</v>
      </c>
      <c r="E5163">
        <v>0</v>
      </c>
      <c r="F5163">
        <v>0</v>
      </c>
      <c r="G5163">
        <v>0</v>
      </c>
      <c r="H5163">
        <v>146</v>
      </c>
      <c r="I5163" s="183" t="s">
        <v>1412</v>
      </c>
      <c r="J5163" s="183" t="s">
        <v>12093</v>
      </c>
      <c r="K5163">
        <v>0</v>
      </c>
      <c r="L5163">
        <v>146</v>
      </c>
    </row>
    <row r="5164" spans="1:12">
      <c r="A5164" s="183" t="s">
        <v>3907</v>
      </c>
      <c r="B5164" s="183" t="s">
        <v>3889</v>
      </c>
      <c r="C5164">
        <v>8809986728739</v>
      </c>
      <c r="D5164">
        <v>356</v>
      </c>
      <c r="E5164">
        <v>0</v>
      </c>
      <c r="F5164">
        <v>0</v>
      </c>
      <c r="G5164">
        <v>0</v>
      </c>
      <c r="H5164">
        <v>356</v>
      </c>
      <c r="I5164" s="183" t="s">
        <v>3878</v>
      </c>
      <c r="J5164" s="183" t="s">
        <v>12094</v>
      </c>
      <c r="K5164">
        <v>0</v>
      </c>
      <c r="L5164">
        <v>356</v>
      </c>
    </row>
    <row r="5165" spans="1:12">
      <c r="A5165" s="183" t="s">
        <v>3898</v>
      </c>
      <c r="B5165" s="183" t="s">
        <v>3896</v>
      </c>
      <c r="C5165">
        <v>8809986728784</v>
      </c>
      <c r="D5165">
        <v>312</v>
      </c>
      <c r="E5165">
        <v>0</v>
      </c>
      <c r="F5165">
        <v>0</v>
      </c>
      <c r="G5165">
        <v>0</v>
      </c>
      <c r="H5165">
        <v>312</v>
      </c>
      <c r="I5165" s="183" t="s">
        <v>3878</v>
      </c>
      <c r="J5165" s="183" t="s">
        <v>12094</v>
      </c>
      <c r="K5165">
        <v>0</v>
      </c>
      <c r="L5165">
        <v>312</v>
      </c>
    </row>
    <row r="5166" spans="1:12">
      <c r="A5166" s="183" t="s">
        <v>3917</v>
      </c>
      <c r="B5166" s="183" t="s">
        <v>3914</v>
      </c>
      <c r="C5166">
        <v>8809986728890</v>
      </c>
      <c r="D5166">
        <v>299</v>
      </c>
      <c r="E5166">
        <v>0</v>
      </c>
      <c r="F5166">
        <v>0</v>
      </c>
      <c r="G5166">
        <v>0</v>
      </c>
      <c r="H5166">
        <v>299</v>
      </c>
      <c r="I5166" s="183" t="s">
        <v>3878</v>
      </c>
      <c r="J5166" s="183" t="s">
        <v>12091</v>
      </c>
      <c r="K5166">
        <v>0</v>
      </c>
      <c r="L5166">
        <v>299</v>
      </c>
    </row>
    <row r="5167" spans="1:12">
      <c r="A5167" s="183" t="s">
        <v>3664</v>
      </c>
      <c r="B5167" s="183" t="s">
        <v>3576</v>
      </c>
      <c r="C5167">
        <v>8800245474251</v>
      </c>
      <c r="D5167">
        <v>918</v>
      </c>
      <c r="E5167">
        <v>0</v>
      </c>
      <c r="F5167">
        <v>0</v>
      </c>
      <c r="G5167">
        <v>0</v>
      </c>
      <c r="H5167">
        <v>918</v>
      </c>
      <c r="I5167" s="183" t="s">
        <v>3577</v>
      </c>
      <c r="J5167" s="183" t="s">
        <v>12094</v>
      </c>
      <c r="K5167">
        <v>0</v>
      </c>
      <c r="L5167">
        <v>918</v>
      </c>
    </row>
    <row r="5168" spans="1:12">
      <c r="A5168" s="183" t="s">
        <v>3667</v>
      </c>
      <c r="B5168" s="183" t="s">
        <v>3576</v>
      </c>
      <c r="C5168">
        <v>8800245474343</v>
      </c>
      <c r="D5168" s="501">
        <v>1573</v>
      </c>
      <c r="E5168">
        <v>0</v>
      </c>
      <c r="F5168">
        <v>0</v>
      </c>
      <c r="G5168">
        <v>0</v>
      </c>
      <c r="H5168" s="501">
        <v>1573</v>
      </c>
      <c r="I5168" s="183" t="s">
        <v>3577</v>
      </c>
      <c r="J5168" s="183" t="s">
        <v>12091</v>
      </c>
      <c r="K5168">
        <v>0</v>
      </c>
      <c r="L5168" s="501">
        <v>1573</v>
      </c>
    </row>
    <row r="5169" spans="1:12">
      <c r="A5169" s="183" t="s">
        <v>3811</v>
      </c>
      <c r="B5169" s="183" t="s">
        <v>3576</v>
      </c>
      <c r="C5169">
        <v>8800245474428</v>
      </c>
      <c r="D5169">
        <v>185</v>
      </c>
      <c r="E5169">
        <v>0</v>
      </c>
      <c r="F5169">
        <v>0</v>
      </c>
      <c r="G5169">
        <v>0</v>
      </c>
      <c r="H5169">
        <v>185</v>
      </c>
      <c r="I5169" s="183" t="s">
        <v>3577</v>
      </c>
      <c r="J5169" s="183" t="s">
        <v>12093</v>
      </c>
      <c r="K5169">
        <v>0</v>
      </c>
      <c r="L5169">
        <v>185</v>
      </c>
    </row>
    <row r="5170" spans="1:12">
      <c r="A5170" s="183" t="s">
        <v>3656</v>
      </c>
      <c r="B5170" s="183" t="s">
        <v>3576</v>
      </c>
      <c r="C5170">
        <v>8800245474435</v>
      </c>
      <c r="D5170" s="501">
        <v>1210</v>
      </c>
      <c r="E5170">
        <v>0</v>
      </c>
      <c r="F5170">
        <v>0</v>
      </c>
      <c r="G5170">
        <v>0</v>
      </c>
      <c r="H5170" s="501">
        <v>1210</v>
      </c>
      <c r="I5170" s="183" t="s">
        <v>3577</v>
      </c>
      <c r="J5170" s="183" t="s">
        <v>12092</v>
      </c>
      <c r="K5170">
        <v>0</v>
      </c>
      <c r="L5170" s="501">
        <v>1210</v>
      </c>
    </row>
    <row r="5171" spans="1:12">
      <c r="A5171" s="183" t="s">
        <v>3662</v>
      </c>
      <c r="B5171" s="183" t="s">
        <v>3576</v>
      </c>
      <c r="C5171">
        <v>8800245474572</v>
      </c>
      <c r="D5171">
        <v>933</v>
      </c>
      <c r="E5171">
        <v>0</v>
      </c>
      <c r="F5171">
        <v>0</v>
      </c>
      <c r="G5171">
        <v>0</v>
      </c>
      <c r="H5171">
        <v>933</v>
      </c>
      <c r="I5171" s="183" t="s">
        <v>3577</v>
      </c>
      <c r="J5171" s="183" t="s">
        <v>12091</v>
      </c>
      <c r="K5171">
        <v>0</v>
      </c>
      <c r="L5171">
        <v>933</v>
      </c>
    </row>
    <row r="5172" spans="1:12">
      <c r="A5172" s="183" t="s">
        <v>3804</v>
      </c>
      <c r="B5172" s="183" t="s">
        <v>3576</v>
      </c>
      <c r="C5172">
        <v>8800245474633</v>
      </c>
      <c r="D5172">
        <v>142</v>
      </c>
      <c r="E5172">
        <v>0</v>
      </c>
      <c r="F5172">
        <v>0</v>
      </c>
      <c r="G5172">
        <v>0</v>
      </c>
      <c r="H5172">
        <v>142</v>
      </c>
      <c r="I5172" s="183" t="s">
        <v>3577</v>
      </c>
      <c r="J5172" s="183" t="s">
        <v>12092</v>
      </c>
      <c r="K5172">
        <v>0</v>
      </c>
      <c r="L5172">
        <v>142</v>
      </c>
    </row>
    <row r="5173" spans="1:12">
      <c r="A5173" s="183" t="s">
        <v>3817</v>
      </c>
      <c r="B5173" s="183" t="s">
        <v>3576</v>
      </c>
      <c r="C5173">
        <v>8800245474664</v>
      </c>
      <c r="D5173">
        <v>132</v>
      </c>
      <c r="E5173">
        <v>0</v>
      </c>
      <c r="F5173">
        <v>0</v>
      </c>
      <c r="G5173">
        <v>0</v>
      </c>
      <c r="H5173">
        <v>132</v>
      </c>
      <c r="I5173" s="183" t="s">
        <v>3577</v>
      </c>
      <c r="J5173" s="183" t="s">
        <v>12091</v>
      </c>
      <c r="K5173">
        <v>0</v>
      </c>
      <c r="L5173">
        <v>132</v>
      </c>
    </row>
    <row r="5174" spans="1:12">
      <c r="A5174" s="183" t="s">
        <v>3806</v>
      </c>
      <c r="B5174" s="183" t="s">
        <v>3576</v>
      </c>
      <c r="C5174">
        <v>8800245474749</v>
      </c>
      <c r="D5174">
        <v>269</v>
      </c>
      <c r="E5174">
        <v>0</v>
      </c>
      <c r="F5174">
        <v>0</v>
      </c>
      <c r="G5174">
        <v>0</v>
      </c>
      <c r="H5174">
        <v>269</v>
      </c>
      <c r="I5174" s="183" t="s">
        <v>3577</v>
      </c>
      <c r="J5174" s="183" t="s">
        <v>12060</v>
      </c>
      <c r="K5174">
        <v>0</v>
      </c>
      <c r="L5174">
        <v>269</v>
      </c>
    </row>
    <row r="5175" spans="1:12">
      <c r="A5175" s="183" t="s">
        <v>3660</v>
      </c>
      <c r="B5175" s="183" t="s">
        <v>3574</v>
      </c>
      <c r="C5175">
        <v>8800245474961</v>
      </c>
      <c r="D5175">
        <v>504</v>
      </c>
      <c r="E5175">
        <v>0</v>
      </c>
      <c r="F5175">
        <v>0</v>
      </c>
      <c r="G5175">
        <v>0</v>
      </c>
      <c r="H5175">
        <v>504</v>
      </c>
      <c r="I5175" s="183" t="s">
        <v>3575</v>
      </c>
      <c r="J5175" s="183" t="s">
        <v>12091</v>
      </c>
      <c r="K5175">
        <v>0</v>
      </c>
      <c r="L5175">
        <v>504</v>
      </c>
    </row>
    <row r="5176" spans="1:12">
      <c r="A5176" s="183" t="s">
        <v>3657</v>
      </c>
      <c r="B5176" s="183" t="s">
        <v>3574</v>
      </c>
      <c r="C5176">
        <v>8800245475043</v>
      </c>
      <c r="D5176">
        <v>751</v>
      </c>
      <c r="E5176">
        <v>0</v>
      </c>
      <c r="F5176">
        <v>0</v>
      </c>
      <c r="G5176">
        <v>0</v>
      </c>
      <c r="H5176">
        <v>751</v>
      </c>
      <c r="I5176" s="183" t="s">
        <v>3575</v>
      </c>
      <c r="J5176" s="183" t="s">
        <v>12059</v>
      </c>
      <c r="K5176">
        <v>0</v>
      </c>
      <c r="L5176">
        <v>751</v>
      </c>
    </row>
    <row r="5177" spans="1:12">
      <c r="A5177" s="183" t="s">
        <v>3658</v>
      </c>
      <c r="B5177" s="183" t="s">
        <v>3574</v>
      </c>
      <c r="C5177">
        <v>8800245475104</v>
      </c>
      <c r="D5177">
        <v>547</v>
      </c>
      <c r="E5177">
        <v>0</v>
      </c>
      <c r="F5177">
        <v>0</v>
      </c>
      <c r="G5177">
        <v>0</v>
      </c>
      <c r="H5177">
        <v>547</v>
      </c>
      <c r="I5177" s="183" t="s">
        <v>3575</v>
      </c>
      <c r="J5177" s="183" t="s">
        <v>12081</v>
      </c>
      <c r="K5177">
        <v>0</v>
      </c>
      <c r="L5177">
        <v>547</v>
      </c>
    </row>
    <row r="5178" spans="1:12">
      <c r="A5178" s="183" t="s">
        <v>3663</v>
      </c>
      <c r="B5178" s="183" t="s">
        <v>3574</v>
      </c>
      <c r="C5178">
        <v>8800245475142</v>
      </c>
      <c r="D5178">
        <v>576</v>
      </c>
      <c r="E5178">
        <v>0</v>
      </c>
      <c r="F5178">
        <v>0</v>
      </c>
      <c r="G5178">
        <v>0</v>
      </c>
      <c r="H5178">
        <v>576</v>
      </c>
      <c r="I5178" s="183" t="s">
        <v>3575</v>
      </c>
      <c r="J5178" s="183" t="s">
        <v>12048</v>
      </c>
      <c r="K5178">
        <v>0</v>
      </c>
      <c r="L5178">
        <v>576</v>
      </c>
    </row>
    <row r="5179" spans="1:12">
      <c r="A5179" s="183" t="s">
        <v>3659</v>
      </c>
      <c r="B5179" s="183" t="s">
        <v>3574</v>
      </c>
      <c r="C5179">
        <v>8800245475180</v>
      </c>
      <c r="D5179" s="501">
        <v>1113</v>
      </c>
      <c r="E5179">
        <v>0</v>
      </c>
      <c r="F5179">
        <v>0</v>
      </c>
      <c r="G5179">
        <v>0</v>
      </c>
      <c r="H5179" s="501">
        <v>1113</v>
      </c>
      <c r="I5179" s="183" t="s">
        <v>3575</v>
      </c>
      <c r="J5179" s="183" t="s">
        <v>12085</v>
      </c>
      <c r="K5179">
        <v>0</v>
      </c>
      <c r="L5179" s="501">
        <v>1113</v>
      </c>
    </row>
    <row r="5180" spans="1:12">
      <c r="A5180" s="183" t="s">
        <v>3666</v>
      </c>
      <c r="B5180" s="183" t="s">
        <v>3574</v>
      </c>
      <c r="C5180">
        <v>8800245475227</v>
      </c>
      <c r="D5180" s="501">
        <v>1648</v>
      </c>
      <c r="E5180">
        <v>0</v>
      </c>
      <c r="F5180">
        <v>0</v>
      </c>
      <c r="G5180">
        <v>0</v>
      </c>
      <c r="H5180" s="501">
        <v>1648</v>
      </c>
      <c r="I5180" s="183" t="s">
        <v>3575</v>
      </c>
      <c r="J5180" s="183" t="s">
        <v>12066</v>
      </c>
      <c r="K5180">
        <v>0</v>
      </c>
      <c r="L5180" s="501">
        <v>1648</v>
      </c>
    </row>
    <row r="5181" spans="1:12">
      <c r="A5181" s="183" t="s">
        <v>3661</v>
      </c>
      <c r="B5181" s="183" t="s">
        <v>3574</v>
      </c>
      <c r="C5181">
        <v>8800245475319</v>
      </c>
      <c r="D5181" s="501">
        <v>1588</v>
      </c>
      <c r="E5181">
        <v>0</v>
      </c>
      <c r="F5181">
        <v>0</v>
      </c>
      <c r="G5181">
        <v>0</v>
      </c>
      <c r="H5181" s="501">
        <v>1588</v>
      </c>
      <c r="I5181" s="183" t="s">
        <v>3575</v>
      </c>
      <c r="J5181" s="183" t="s">
        <v>12053</v>
      </c>
      <c r="K5181">
        <v>0</v>
      </c>
      <c r="L5181" s="501">
        <v>1588</v>
      </c>
    </row>
    <row r="5182" spans="1:12">
      <c r="A5182" s="183" t="s">
        <v>3665</v>
      </c>
      <c r="B5182" s="183" t="s">
        <v>3574</v>
      </c>
      <c r="C5182">
        <v>8800245475449</v>
      </c>
      <c r="D5182">
        <v>196</v>
      </c>
      <c r="E5182">
        <v>0</v>
      </c>
      <c r="F5182">
        <v>0</v>
      </c>
      <c r="G5182">
        <v>0</v>
      </c>
      <c r="H5182">
        <v>196</v>
      </c>
      <c r="I5182" s="183" t="s">
        <v>3575</v>
      </c>
      <c r="J5182" s="183" t="s">
        <v>12093</v>
      </c>
      <c r="K5182">
        <v>0</v>
      </c>
      <c r="L5182">
        <v>196</v>
      </c>
    </row>
    <row r="5183" spans="1:12">
      <c r="A5183" s="183" t="s">
        <v>4095</v>
      </c>
      <c r="B5183" s="183" t="s">
        <v>3574</v>
      </c>
      <c r="C5183">
        <v>8800245475531</v>
      </c>
      <c r="D5183">
        <v>52</v>
      </c>
      <c r="E5183">
        <v>0</v>
      </c>
      <c r="F5183">
        <v>0</v>
      </c>
      <c r="G5183">
        <v>0</v>
      </c>
      <c r="H5183">
        <v>52</v>
      </c>
      <c r="I5183" s="183" t="s">
        <v>3575</v>
      </c>
      <c r="J5183" s="183" t="s">
        <v>12091</v>
      </c>
      <c r="K5183">
        <v>0</v>
      </c>
      <c r="L5183">
        <v>52</v>
      </c>
    </row>
    <row r="5184" spans="1:12">
      <c r="A5184" s="183" t="s">
        <v>2029</v>
      </c>
      <c r="B5184" s="183" t="s">
        <v>1330</v>
      </c>
      <c r="C5184">
        <v>15550205</v>
      </c>
      <c r="D5184">
        <v>130</v>
      </c>
      <c r="E5184">
        <v>0</v>
      </c>
      <c r="F5184">
        <v>0</v>
      </c>
      <c r="G5184">
        <v>0</v>
      </c>
      <c r="H5184">
        <v>130</v>
      </c>
      <c r="I5184" s="183" t="s">
        <v>1331</v>
      </c>
      <c r="J5184" s="183" t="s">
        <v>12093</v>
      </c>
      <c r="K5184">
        <v>0</v>
      </c>
      <c r="L5184">
        <v>130</v>
      </c>
    </row>
    <row r="5185" spans="1:12">
      <c r="A5185" s="183" t="s">
        <v>1685</v>
      </c>
      <c r="B5185" s="183" t="s">
        <v>1330</v>
      </c>
      <c r="C5185">
        <v>15550212</v>
      </c>
      <c r="D5185">
        <v>83</v>
      </c>
      <c r="E5185">
        <v>0</v>
      </c>
      <c r="F5185">
        <v>0</v>
      </c>
      <c r="G5185">
        <v>0</v>
      </c>
      <c r="H5185">
        <v>83</v>
      </c>
      <c r="I5185" s="183" t="s">
        <v>1331</v>
      </c>
      <c r="J5185" s="183" t="s">
        <v>12092</v>
      </c>
      <c r="K5185">
        <v>0</v>
      </c>
      <c r="L5185">
        <v>83</v>
      </c>
    </row>
    <row r="5186" spans="1:12">
      <c r="A5186" s="183" t="s">
        <v>2479</v>
      </c>
      <c r="B5186" s="183" t="s">
        <v>1330</v>
      </c>
      <c r="C5186">
        <v>15550214</v>
      </c>
      <c r="D5186">
        <v>46</v>
      </c>
      <c r="E5186">
        <v>0</v>
      </c>
      <c r="F5186">
        <v>0</v>
      </c>
      <c r="G5186">
        <v>0</v>
      </c>
      <c r="H5186">
        <v>46</v>
      </c>
      <c r="I5186" s="183" t="s">
        <v>1331</v>
      </c>
      <c r="J5186" s="183" t="s">
        <v>12060</v>
      </c>
      <c r="K5186">
        <v>0</v>
      </c>
      <c r="L5186">
        <v>46</v>
      </c>
    </row>
    <row r="5187" spans="1:12">
      <c r="A5187" s="183" t="s">
        <v>1878</v>
      </c>
      <c r="B5187" s="183" t="s">
        <v>1330</v>
      </c>
      <c r="C5187">
        <v>15550219</v>
      </c>
      <c r="D5187">
        <v>46</v>
      </c>
      <c r="E5187">
        <v>0</v>
      </c>
      <c r="F5187">
        <v>0</v>
      </c>
      <c r="G5187">
        <v>0</v>
      </c>
      <c r="H5187">
        <v>46</v>
      </c>
      <c r="I5187" s="183" t="s">
        <v>1331</v>
      </c>
      <c r="J5187" s="183" t="s">
        <v>12067</v>
      </c>
      <c r="K5187">
        <v>0</v>
      </c>
      <c r="L5187">
        <v>46</v>
      </c>
    </row>
    <row r="5188" spans="1:12">
      <c r="A5188" s="183" t="s">
        <v>2013</v>
      </c>
      <c r="B5188" s="183" t="s">
        <v>1458</v>
      </c>
      <c r="C5188">
        <v>15560206</v>
      </c>
      <c r="D5188">
        <v>44</v>
      </c>
      <c r="E5188">
        <v>0</v>
      </c>
      <c r="F5188">
        <v>0</v>
      </c>
      <c r="G5188">
        <v>0</v>
      </c>
      <c r="H5188">
        <v>44</v>
      </c>
      <c r="I5188" s="183" t="s">
        <v>1459</v>
      </c>
      <c r="J5188" s="183" t="s">
        <v>12093</v>
      </c>
      <c r="K5188">
        <v>0</v>
      </c>
      <c r="L5188">
        <v>44</v>
      </c>
    </row>
    <row r="5189" spans="1:12">
      <c r="A5189" s="183" t="s">
        <v>1524</v>
      </c>
      <c r="B5189" s="183" t="s">
        <v>1458</v>
      </c>
      <c r="C5189">
        <v>15560219</v>
      </c>
      <c r="D5189">
        <v>175</v>
      </c>
      <c r="E5189">
        <v>0</v>
      </c>
      <c r="F5189">
        <v>0</v>
      </c>
      <c r="G5189">
        <v>0</v>
      </c>
      <c r="H5189">
        <v>175</v>
      </c>
      <c r="I5189" s="183" t="s">
        <v>1459</v>
      </c>
      <c r="J5189" s="183" t="s">
        <v>12081</v>
      </c>
      <c r="K5189">
        <v>0</v>
      </c>
      <c r="L5189">
        <v>175</v>
      </c>
    </row>
    <row r="5190" spans="1:12">
      <c r="A5190" s="183" t="s">
        <v>2325</v>
      </c>
      <c r="B5190" s="183" t="s">
        <v>1341</v>
      </c>
      <c r="C5190">
        <v>15570200</v>
      </c>
      <c r="D5190">
        <v>166</v>
      </c>
      <c r="E5190">
        <v>0</v>
      </c>
      <c r="F5190">
        <v>0</v>
      </c>
      <c r="G5190">
        <v>0</v>
      </c>
      <c r="H5190">
        <v>166</v>
      </c>
      <c r="I5190" s="183" t="s">
        <v>1342</v>
      </c>
      <c r="J5190" s="183" t="s">
        <v>12094</v>
      </c>
      <c r="K5190">
        <v>0</v>
      </c>
      <c r="L5190">
        <v>166</v>
      </c>
    </row>
    <row r="5191" spans="1:12">
      <c r="A5191" s="183" t="s">
        <v>2318</v>
      </c>
      <c r="B5191" s="183" t="s">
        <v>1341</v>
      </c>
      <c r="C5191">
        <v>15570209</v>
      </c>
      <c r="D5191">
        <v>116</v>
      </c>
      <c r="E5191">
        <v>0</v>
      </c>
      <c r="F5191">
        <v>0</v>
      </c>
      <c r="G5191">
        <v>0</v>
      </c>
      <c r="H5191">
        <v>116</v>
      </c>
      <c r="I5191" s="183" t="s">
        <v>1342</v>
      </c>
      <c r="J5191" s="183" t="s">
        <v>12081</v>
      </c>
      <c r="K5191">
        <v>0</v>
      </c>
      <c r="L5191">
        <v>116</v>
      </c>
    </row>
    <row r="5192" spans="1:12">
      <c r="A5192" s="183" t="s">
        <v>1675</v>
      </c>
      <c r="B5192" s="183" t="s">
        <v>1341</v>
      </c>
      <c r="C5192">
        <v>15570219</v>
      </c>
      <c r="D5192">
        <v>103</v>
      </c>
      <c r="E5192">
        <v>0</v>
      </c>
      <c r="F5192">
        <v>0</v>
      </c>
      <c r="G5192">
        <v>0</v>
      </c>
      <c r="H5192">
        <v>103</v>
      </c>
      <c r="I5192" s="183" t="s">
        <v>1342</v>
      </c>
      <c r="J5192" s="183" t="s">
        <v>12093</v>
      </c>
      <c r="K5192">
        <v>0</v>
      </c>
      <c r="L5192">
        <v>103</v>
      </c>
    </row>
    <row r="5193" spans="1:12">
      <c r="A5193" s="183" t="s">
        <v>3093</v>
      </c>
      <c r="B5193" s="183" t="s">
        <v>1371</v>
      </c>
      <c r="C5193">
        <v>17120200</v>
      </c>
      <c r="D5193">
        <v>47</v>
      </c>
      <c r="E5193">
        <v>0</v>
      </c>
      <c r="F5193">
        <v>0</v>
      </c>
      <c r="G5193">
        <v>0</v>
      </c>
      <c r="H5193">
        <v>47</v>
      </c>
      <c r="I5193" s="183" t="s">
        <v>1372</v>
      </c>
      <c r="J5193" s="183" t="s">
        <v>12092</v>
      </c>
      <c r="K5193">
        <v>0</v>
      </c>
      <c r="L5193">
        <v>47</v>
      </c>
    </row>
    <row r="5194" spans="1:12">
      <c r="A5194" s="183" t="s">
        <v>1370</v>
      </c>
      <c r="B5194" s="183" t="s">
        <v>1371</v>
      </c>
      <c r="C5194">
        <v>17120204</v>
      </c>
      <c r="D5194">
        <v>168</v>
      </c>
      <c r="E5194">
        <v>0</v>
      </c>
      <c r="F5194">
        <v>0</v>
      </c>
      <c r="G5194">
        <v>0</v>
      </c>
      <c r="H5194">
        <v>168</v>
      </c>
      <c r="I5194" s="183" t="s">
        <v>1372</v>
      </c>
      <c r="J5194" s="183" t="s">
        <v>12094</v>
      </c>
      <c r="K5194">
        <v>0</v>
      </c>
      <c r="L5194">
        <v>168</v>
      </c>
    </row>
    <row r="5195" spans="1:12">
      <c r="A5195" s="183" t="s">
        <v>2015</v>
      </c>
      <c r="B5195" s="183" t="s">
        <v>1371</v>
      </c>
      <c r="C5195">
        <v>17120209</v>
      </c>
      <c r="D5195">
        <v>137</v>
      </c>
      <c r="E5195">
        <v>0</v>
      </c>
      <c r="F5195">
        <v>0</v>
      </c>
      <c r="G5195">
        <v>0</v>
      </c>
      <c r="H5195">
        <v>137</v>
      </c>
      <c r="I5195" s="183" t="s">
        <v>1372</v>
      </c>
      <c r="J5195" s="183" t="s">
        <v>12094</v>
      </c>
      <c r="K5195">
        <v>0</v>
      </c>
      <c r="L5195">
        <v>137</v>
      </c>
    </row>
    <row r="5196" spans="1:12">
      <c r="A5196" s="183" t="s">
        <v>1858</v>
      </c>
      <c r="B5196" s="183" t="s">
        <v>1371</v>
      </c>
      <c r="C5196">
        <v>17120210</v>
      </c>
      <c r="D5196">
        <v>127</v>
      </c>
      <c r="E5196">
        <v>0</v>
      </c>
      <c r="F5196">
        <v>0</v>
      </c>
      <c r="G5196">
        <v>0</v>
      </c>
      <c r="H5196">
        <v>127</v>
      </c>
      <c r="I5196" s="183" t="s">
        <v>1372</v>
      </c>
      <c r="J5196" s="183" t="s">
        <v>12054</v>
      </c>
      <c r="K5196">
        <v>0</v>
      </c>
      <c r="L5196">
        <v>127</v>
      </c>
    </row>
    <row r="5197" spans="1:12">
      <c r="A5197" s="183" t="s">
        <v>1530</v>
      </c>
      <c r="B5197" s="183" t="s">
        <v>1371</v>
      </c>
      <c r="C5197">
        <v>17120232</v>
      </c>
      <c r="D5197">
        <v>182</v>
      </c>
      <c r="E5197">
        <v>0</v>
      </c>
      <c r="F5197">
        <v>0</v>
      </c>
      <c r="G5197">
        <v>0</v>
      </c>
      <c r="H5197">
        <v>182</v>
      </c>
      <c r="I5197" s="183" t="s">
        <v>1372</v>
      </c>
      <c r="J5197" s="183" t="s">
        <v>12091</v>
      </c>
      <c r="K5197">
        <v>0</v>
      </c>
      <c r="L5197">
        <v>182</v>
      </c>
    </row>
    <row r="5198" spans="1:12">
      <c r="A5198" s="183" t="s">
        <v>2482</v>
      </c>
      <c r="B5198" s="183" t="s">
        <v>1550</v>
      </c>
      <c r="C5198">
        <v>17130216</v>
      </c>
      <c r="D5198">
        <v>82</v>
      </c>
      <c r="E5198">
        <v>0</v>
      </c>
      <c r="F5198">
        <v>0</v>
      </c>
      <c r="G5198">
        <v>0</v>
      </c>
      <c r="H5198">
        <v>82</v>
      </c>
      <c r="I5198" s="183" t="s">
        <v>1551</v>
      </c>
      <c r="J5198" s="183" t="s">
        <v>12087</v>
      </c>
      <c r="K5198">
        <v>0</v>
      </c>
      <c r="L5198">
        <v>82</v>
      </c>
    </row>
    <row r="5199" spans="1:12">
      <c r="A5199" s="183" t="s">
        <v>2021</v>
      </c>
      <c r="B5199" s="183" t="s">
        <v>1550</v>
      </c>
      <c r="C5199">
        <v>17130217</v>
      </c>
      <c r="D5199">
        <v>154</v>
      </c>
      <c r="E5199">
        <v>0</v>
      </c>
      <c r="F5199">
        <v>0</v>
      </c>
      <c r="G5199">
        <v>0</v>
      </c>
      <c r="H5199">
        <v>154</v>
      </c>
      <c r="I5199" s="183" t="s">
        <v>1551</v>
      </c>
      <c r="J5199" s="183" t="s">
        <v>12050</v>
      </c>
      <c r="K5199">
        <v>0</v>
      </c>
      <c r="L5199">
        <v>154</v>
      </c>
    </row>
    <row r="5200" spans="1:12">
      <c r="A5200" s="183" t="s">
        <v>2188</v>
      </c>
      <c r="B5200" s="183" t="s">
        <v>1550</v>
      </c>
      <c r="C5200">
        <v>17130220</v>
      </c>
      <c r="D5200">
        <v>175</v>
      </c>
      <c r="E5200">
        <v>0</v>
      </c>
      <c r="F5200">
        <v>0</v>
      </c>
      <c r="G5200">
        <v>0</v>
      </c>
      <c r="H5200">
        <v>175</v>
      </c>
      <c r="I5200" s="183" t="s">
        <v>1551</v>
      </c>
      <c r="J5200" s="183" t="s">
        <v>12063</v>
      </c>
      <c r="K5200">
        <v>0</v>
      </c>
      <c r="L5200">
        <v>175</v>
      </c>
    </row>
    <row r="5201" spans="1:12">
      <c r="A5201" s="183" t="s">
        <v>2181</v>
      </c>
      <c r="B5201" s="183" t="s">
        <v>1411</v>
      </c>
      <c r="C5201">
        <v>17140207</v>
      </c>
      <c r="D5201">
        <v>321</v>
      </c>
      <c r="E5201">
        <v>0</v>
      </c>
      <c r="F5201">
        <v>0</v>
      </c>
      <c r="G5201">
        <v>0</v>
      </c>
      <c r="H5201">
        <v>321</v>
      </c>
      <c r="I5201" s="183" t="s">
        <v>1412</v>
      </c>
      <c r="J5201" s="183" t="s">
        <v>12093</v>
      </c>
      <c r="K5201">
        <v>0</v>
      </c>
      <c r="L5201">
        <v>321</v>
      </c>
    </row>
    <row r="5202" spans="1:12">
      <c r="A5202" s="183" t="s">
        <v>2026</v>
      </c>
      <c r="B5202" s="183" t="s">
        <v>1411</v>
      </c>
      <c r="C5202">
        <v>17140214</v>
      </c>
      <c r="D5202">
        <v>73</v>
      </c>
      <c r="E5202">
        <v>0</v>
      </c>
      <c r="F5202">
        <v>0</v>
      </c>
      <c r="G5202">
        <v>0</v>
      </c>
      <c r="H5202">
        <v>73</v>
      </c>
      <c r="I5202" s="183" t="s">
        <v>1412</v>
      </c>
      <c r="J5202" s="183" t="s">
        <v>12085</v>
      </c>
      <c r="K5202">
        <v>0</v>
      </c>
      <c r="L5202">
        <v>73</v>
      </c>
    </row>
    <row r="5203" spans="1:12">
      <c r="A5203" s="183" t="s">
        <v>3313</v>
      </c>
      <c r="B5203" s="183" t="s">
        <v>3314</v>
      </c>
      <c r="C5203">
        <v>8809959704029</v>
      </c>
      <c r="D5203">
        <v>223</v>
      </c>
      <c r="E5203">
        <v>0</v>
      </c>
      <c r="F5203">
        <v>0</v>
      </c>
      <c r="G5203">
        <v>0</v>
      </c>
      <c r="H5203">
        <v>223</v>
      </c>
      <c r="I5203" s="183" t="s">
        <v>3278</v>
      </c>
      <c r="J5203" s="183" t="s">
        <v>12091</v>
      </c>
      <c r="K5203">
        <v>0</v>
      </c>
      <c r="L5203">
        <v>223</v>
      </c>
    </row>
    <row r="5204" spans="1:12">
      <c r="A5204" s="183" t="s">
        <v>3258</v>
      </c>
      <c r="B5204" s="183" t="s">
        <v>3259</v>
      </c>
      <c r="C5204">
        <v>8809959704258</v>
      </c>
      <c r="D5204">
        <v>76</v>
      </c>
      <c r="E5204">
        <v>0</v>
      </c>
      <c r="F5204">
        <v>0</v>
      </c>
      <c r="G5204">
        <v>0</v>
      </c>
      <c r="H5204">
        <v>76</v>
      </c>
      <c r="I5204" s="183" t="s">
        <v>3235</v>
      </c>
      <c r="J5204" s="183" t="s">
        <v>12053</v>
      </c>
      <c r="K5204">
        <v>0</v>
      </c>
      <c r="L5204">
        <v>76</v>
      </c>
    </row>
    <row r="5205" spans="1:12">
      <c r="A5205" s="183" t="s">
        <v>1270</v>
      </c>
      <c r="B5205" s="183" t="s">
        <v>982</v>
      </c>
      <c r="C5205">
        <v>18800212</v>
      </c>
      <c r="D5205" s="501">
        <v>1286</v>
      </c>
      <c r="E5205">
        <v>0</v>
      </c>
      <c r="F5205">
        <v>0</v>
      </c>
      <c r="G5205">
        <v>0</v>
      </c>
      <c r="H5205" s="501">
        <v>1286</v>
      </c>
      <c r="I5205" s="183" t="s">
        <v>983</v>
      </c>
      <c r="J5205" s="183" t="s">
        <v>12091</v>
      </c>
      <c r="K5205">
        <v>0</v>
      </c>
      <c r="L5205" s="501">
        <v>1286</v>
      </c>
    </row>
    <row r="5206" spans="1:12">
      <c r="A5206" s="183" t="s">
        <v>1376</v>
      </c>
      <c r="B5206" s="183" t="s">
        <v>982</v>
      </c>
      <c r="C5206">
        <v>18800215</v>
      </c>
      <c r="D5206">
        <v>782</v>
      </c>
      <c r="E5206">
        <v>0</v>
      </c>
      <c r="F5206">
        <v>0</v>
      </c>
      <c r="G5206">
        <v>0</v>
      </c>
      <c r="H5206">
        <v>782</v>
      </c>
      <c r="I5206" s="183" t="s">
        <v>983</v>
      </c>
      <c r="J5206" s="183" t="s">
        <v>12092</v>
      </c>
      <c r="K5206">
        <v>0</v>
      </c>
      <c r="L5206">
        <v>782</v>
      </c>
    </row>
    <row r="5207" spans="1:12">
      <c r="A5207" s="183" t="s">
        <v>1278</v>
      </c>
      <c r="B5207" s="183" t="s">
        <v>982</v>
      </c>
      <c r="C5207">
        <v>18800217</v>
      </c>
      <c r="D5207" s="501">
        <v>1465</v>
      </c>
      <c r="E5207">
        <v>0</v>
      </c>
      <c r="F5207">
        <v>0</v>
      </c>
      <c r="G5207">
        <v>0</v>
      </c>
      <c r="H5207" s="501">
        <v>1465</v>
      </c>
      <c r="I5207" s="183" t="s">
        <v>983</v>
      </c>
      <c r="J5207" s="183" t="s">
        <v>12067</v>
      </c>
      <c r="K5207">
        <v>0</v>
      </c>
      <c r="L5207" s="501">
        <v>1465</v>
      </c>
    </row>
    <row r="5208" spans="1:12">
      <c r="A5208" s="183" t="s">
        <v>1377</v>
      </c>
      <c r="B5208" s="183" t="s">
        <v>982</v>
      </c>
      <c r="C5208">
        <v>18800221</v>
      </c>
      <c r="D5208" s="501">
        <v>1250</v>
      </c>
      <c r="E5208">
        <v>0</v>
      </c>
      <c r="F5208">
        <v>0</v>
      </c>
      <c r="G5208">
        <v>0</v>
      </c>
      <c r="H5208" s="501">
        <v>1250</v>
      </c>
      <c r="I5208" s="183" t="s">
        <v>983</v>
      </c>
      <c r="J5208" s="183" t="s">
        <v>12053</v>
      </c>
      <c r="K5208">
        <v>0</v>
      </c>
      <c r="L5208" s="501">
        <v>1250</v>
      </c>
    </row>
    <row r="5209" spans="1:12">
      <c r="A5209" s="183" t="s">
        <v>1180</v>
      </c>
      <c r="B5209" s="183" t="s">
        <v>982</v>
      </c>
      <c r="C5209">
        <v>18800226</v>
      </c>
      <c r="D5209">
        <v>915</v>
      </c>
      <c r="E5209">
        <v>0</v>
      </c>
      <c r="F5209">
        <v>0</v>
      </c>
      <c r="G5209">
        <v>0</v>
      </c>
      <c r="H5209">
        <v>915</v>
      </c>
      <c r="I5209" s="183" t="s">
        <v>983</v>
      </c>
      <c r="J5209" s="183" t="s">
        <v>12092</v>
      </c>
      <c r="K5209">
        <v>0</v>
      </c>
      <c r="L5209">
        <v>915</v>
      </c>
    </row>
    <row r="5210" spans="1:12">
      <c r="A5210" s="183" t="s">
        <v>1161</v>
      </c>
      <c r="B5210" s="183" t="s">
        <v>1035</v>
      </c>
      <c r="C5210">
        <v>18810212</v>
      </c>
      <c r="D5210" s="501">
        <v>1684</v>
      </c>
      <c r="E5210">
        <v>0</v>
      </c>
      <c r="F5210">
        <v>0</v>
      </c>
      <c r="G5210">
        <v>0</v>
      </c>
      <c r="H5210" s="501">
        <v>1684</v>
      </c>
      <c r="I5210" s="183" t="s">
        <v>1036</v>
      </c>
      <c r="J5210" s="183" t="s">
        <v>12091</v>
      </c>
      <c r="K5210">
        <v>0</v>
      </c>
      <c r="L5210" s="501">
        <v>1684</v>
      </c>
    </row>
    <row r="5211" spans="1:12">
      <c r="A5211" s="183" t="s">
        <v>1174</v>
      </c>
      <c r="B5211" s="183" t="s">
        <v>1035</v>
      </c>
      <c r="C5211">
        <v>18810223</v>
      </c>
      <c r="D5211" s="501">
        <v>1467</v>
      </c>
      <c r="E5211">
        <v>0</v>
      </c>
      <c r="F5211">
        <v>0</v>
      </c>
      <c r="G5211">
        <v>0</v>
      </c>
      <c r="H5211" s="501">
        <v>1467</v>
      </c>
      <c r="I5211" s="183" t="s">
        <v>1036</v>
      </c>
      <c r="J5211" s="183" t="s">
        <v>12094</v>
      </c>
      <c r="K5211">
        <v>0</v>
      </c>
      <c r="L5211" s="501">
        <v>1467</v>
      </c>
    </row>
    <row r="5212" spans="1:12">
      <c r="A5212" s="183" t="s">
        <v>11863</v>
      </c>
      <c r="B5212" s="183" t="s">
        <v>1014</v>
      </c>
      <c r="C5212">
        <v>18820200</v>
      </c>
      <c r="D5212">
        <v>69</v>
      </c>
      <c r="E5212">
        <v>0</v>
      </c>
      <c r="F5212">
        <v>0</v>
      </c>
      <c r="G5212">
        <v>0</v>
      </c>
      <c r="H5212">
        <v>69</v>
      </c>
      <c r="I5212" s="183" t="s">
        <v>1015</v>
      </c>
      <c r="J5212" s="183" t="s">
        <v>12053</v>
      </c>
      <c r="K5212">
        <v>0</v>
      </c>
      <c r="L5212">
        <v>69</v>
      </c>
    </row>
    <row r="5213" spans="1:12">
      <c r="A5213" s="183" t="s">
        <v>1176</v>
      </c>
      <c r="B5213" s="183" t="s">
        <v>1014</v>
      </c>
      <c r="C5213">
        <v>18820219</v>
      </c>
      <c r="D5213">
        <v>314</v>
      </c>
      <c r="E5213">
        <v>0</v>
      </c>
      <c r="F5213">
        <v>0</v>
      </c>
      <c r="G5213">
        <v>0</v>
      </c>
      <c r="H5213">
        <v>314</v>
      </c>
      <c r="I5213" s="183" t="s">
        <v>1015</v>
      </c>
      <c r="J5213" s="183" t="s">
        <v>12059</v>
      </c>
      <c r="K5213">
        <v>0</v>
      </c>
      <c r="L5213">
        <v>314</v>
      </c>
    </row>
    <row r="5214" spans="1:12">
      <c r="A5214" s="183" t="s">
        <v>3651</v>
      </c>
      <c r="B5214" s="183" t="s">
        <v>1014</v>
      </c>
      <c r="C5214">
        <v>18820228</v>
      </c>
      <c r="D5214">
        <v>322</v>
      </c>
      <c r="E5214">
        <v>0</v>
      </c>
      <c r="F5214">
        <v>0</v>
      </c>
      <c r="G5214">
        <v>0</v>
      </c>
      <c r="H5214">
        <v>322</v>
      </c>
      <c r="I5214" s="183" t="s">
        <v>1015</v>
      </c>
      <c r="J5214" s="183" t="s">
        <v>12067</v>
      </c>
      <c r="K5214">
        <v>0</v>
      </c>
      <c r="L5214">
        <v>322</v>
      </c>
    </row>
    <row r="5215" spans="1:12">
      <c r="A5215" s="183" t="s">
        <v>1542</v>
      </c>
      <c r="B5215" s="183" t="s">
        <v>1203</v>
      </c>
      <c r="C5215">
        <v>18830202</v>
      </c>
      <c r="D5215" s="501">
        <v>2457</v>
      </c>
      <c r="E5215">
        <v>0</v>
      </c>
      <c r="F5215">
        <v>0</v>
      </c>
      <c r="G5215">
        <v>0</v>
      </c>
      <c r="H5215" s="501">
        <v>2457</v>
      </c>
      <c r="I5215" s="183" t="s">
        <v>1204</v>
      </c>
      <c r="J5215" s="183" t="s">
        <v>12053</v>
      </c>
      <c r="K5215">
        <v>0</v>
      </c>
      <c r="L5215" s="501">
        <v>2457</v>
      </c>
    </row>
    <row r="5216" spans="1:12">
      <c r="A5216" s="183" t="s">
        <v>2529</v>
      </c>
      <c r="B5216" s="183" t="s">
        <v>1203</v>
      </c>
      <c r="C5216">
        <v>18830204</v>
      </c>
      <c r="D5216" s="501">
        <v>1639</v>
      </c>
      <c r="E5216">
        <v>0</v>
      </c>
      <c r="F5216">
        <v>0</v>
      </c>
      <c r="G5216">
        <v>0</v>
      </c>
      <c r="H5216" s="501">
        <v>1639</v>
      </c>
      <c r="I5216" s="183" t="s">
        <v>1204</v>
      </c>
      <c r="J5216" s="183" t="s">
        <v>12053</v>
      </c>
      <c r="K5216">
        <v>0</v>
      </c>
      <c r="L5216" s="501">
        <v>1639</v>
      </c>
    </row>
    <row r="5217" spans="1:12">
      <c r="A5217" s="183" t="s">
        <v>2332</v>
      </c>
      <c r="B5217" s="183" t="s">
        <v>1203</v>
      </c>
      <c r="C5217">
        <v>18830214</v>
      </c>
      <c r="D5217" s="501">
        <v>2733</v>
      </c>
      <c r="E5217">
        <v>0</v>
      </c>
      <c r="F5217">
        <v>0</v>
      </c>
      <c r="G5217">
        <v>0</v>
      </c>
      <c r="H5217" s="501">
        <v>2733</v>
      </c>
      <c r="I5217" s="183" t="s">
        <v>1204</v>
      </c>
      <c r="J5217" s="183" t="s">
        <v>12048</v>
      </c>
      <c r="K5217">
        <v>0</v>
      </c>
      <c r="L5217" s="501">
        <v>2733</v>
      </c>
    </row>
    <row r="5218" spans="1:12">
      <c r="A5218" s="183" t="s">
        <v>2544</v>
      </c>
      <c r="B5218" s="183" t="s">
        <v>1206</v>
      </c>
      <c r="C5218">
        <v>18840204</v>
      </c>
      <c r="D5218" s="501">
        <v>2216</v>
      </c>
      <c r="E5218">
        <v>0</v>
      </c>
      <c r="F5218">
        <v>0</v>
      </c>
      <c r="G5218">
        <v>0</v>
      </c>
      <c r="H5218" s="501">
        <v>2216</v>
      </c>
      <c r="I5218" s="183" t="s">
        <v>1207</v>
      </c>
      <c r="J5218" s="183" t="s">
        <v>12085</v>
      </c>
      <c r="K5218">
        <v>0</v>
      </c>
      <c r="L5218" s="501">
        <v>2216</v>
      </c>
    </row>
    <row r="5219" spans="1:12">
      <c r="A5219" s="183" t="s">
        <v>2508</v>
      </c>
      <c r="B5219" s="183" t="s">
        <v>1206</v>
      </c>
      <c r="C5219">
        <v>18840209</v>
      </c>
      <c r="D5219" s="501">
        <v>2671</v>
      </c>
      <c r="E5219">
        <v>0</v>
      </c>
      <c r="F5219">
        <v>0</v>
      </c>
      <c r="G5219">
        <v>0</v>
      </c>
      <c r="H5219" s="501">
        <v>2671</v>
      </c>
      <c r="I5219" s="183" t="s">
        <v>1207</v>
      </c>
      <c r="J5219" s="183" t="s">
        <v>12081</v>
      </c>
      <c r="K5219">
        <v>0</v>
      </c>
      <c r="L5219" s="501">
        <v>2671</v>
      </c>
    </row>
    <row r="5220" spans="1:12">
      <c r="A5220" s="183" t="s">
        <v>2043</v>
      </c>
      <c r="B5220" s="183" t="s">
        <v>1206</v>
      </c>
      <c r="C5220">
        <v>18840215</v>
      </c>
      <c r="D5220" s="501">
        <v>2948</v>
      </c>
      <c r="E5220">
        <v>0</v>
      </c>
      <c r="F5220">
        <v>0</v>
      </c>
      <c r="G5220">
        <v>0</v>
      </c>
      <c r="H5220" s="501">
        <v>2948</v>
      </c>
      <c r="I5220" s="183" t="s">
        <v>1207</v>
      </c>
      <c r="J5220" s="183" t="s">
        <v>12085</v>
      </c>
      <c r="K5220">
        <v>0</v>
      </c>
      <c r="L5220" s="501">
        <v>2948</v>
      </c>
    </row>
    <row r="5221" spans="1:12">
      <c r="A5221" s="183" t="s">
        <v>1698</v>
      </c>
      <c r="B5221" s="183" t="s">
        <v>1206</v>
      </c>
      <c r="C5221">
        <v>18840218</v>
      </c>
      <c r="D5221" s="501">
        <v>3437</v>
      </c>
      <c r="E5221">
        <v>0</v>
      </c>
      <c r="F5221">
        <v>0</v>
      </c>
      <c r="G5221">
        <v>0</v>
      </c>
      <c r="H5221" s="501">
        <v>3437</v>
      </c>
      <c r="I5221" s="183" t="s">
        <v>1207</v>
      </c>
      <c r="J5221" s="183" t="s">
        <v>12095</v>
      </c>
      <c r="K5221">
        <v>0</v>
      </c>
      <c r="L5221" s="501">
        <v>3437</v>
      </c>
    </row>
    <row r="5222" spans="1:12">
      <c r="A5222" s="183" t="s">
        <v>2335</v>
      </c>
      <c r="B5222" s="183" t="s">
        <v>1206</v>
      </c>
      <c r="C5222">
        <v>18840221</v>
      </c>
      <c r="D5222" s="501">
        <v>2096</v>
      </c>
      <c r="E5222">
        <v>0</v>
      </c>
      <c r="F5222">
        <v>0</v>
      </c>
      <c r="G5222">
        <v>0</v>
      </c>
      <c r="H5222" s="501">
        <v>2096</v>
      </c>
      <c r="I5222" s="183" t="s">
        <v>1207</v>
      </c>
      <c r="J5222" s="183" t="s">
        <v>12087</v>
      </c>
      <c r="K5222">
        <v>0</v>
      </c>
      <c r="L5222" s="501">
        <v>2096</v>
      </c>
    </row>
    <row r="5223" spans="1:12">
      <c r="A5223" s="183" t="s">
        <v>2530</v>
      </c>
      <c r="B5223" s="183" t="s">
        <v>1206</v>
      </c>
      <c r="C5223">
        <v>18840222</v>
      </c>
      <c r="D5223" s="501">
        <v>2297</v>
      </c>
      <c r="E5223">
        <v>0</v>
      </c>
      <c r="F5223">
        <v>0</v>
      </c>
      <c r="G5223">
        <v>0</v>
      </c>
      <c r="H5223" s="501">
        <v>2297</v>
      </c>
      <c r="I5223" s="183" t="s">
        <v>1207</v>
      </c>
      <c r="J5223" s="183" t="s">
        <v>12087</v>
      </c>
      <c r="K5223">
        <v>0</v>
      </c>
      <c r="L5223" s="501">
        <v>2297</v>
      </c>
    </row>
    <row r="5224" spans="1:12">
      <c r="A5224" s="183" t="s">
        <v>6379</v>
      </c>
      <c r="B5224" s="183" t="s">
        <v>6338</v>
      </c>
      <c r="C5224">
        <v>8806392046723</v>
      </c>
      <c r="D5224">
        <v>391</v>
      </c>
      <c r="E5224">
        <v>0</v>
      </c>
      <c r="F5224">
        <v>0</v>
      </c>
      <c r="G5224">
        <v>0</v>
      </c>
      <c r="H5224">
        <v>391</v>
      </c>
      <c r="I5224" s="183" t="s">
        <v>6339</v>
      </c>
      <c r="J5224" s="183" t="s">
        <v>12067</v>
      </c>
      <c r="K5224">
        <v>0</v>
      </c>
      <c r="L5224">
        <v>391</v>
      </c>
    </row>
    <row r="5225" spans="1:12">
      <c r="A5225" s="183" t="s">
        <v>1279</v>
      </c>
      <c r="B5225" s="183" t="s">
        <v>1029</v>
      </c>
      <c r="C5225">
        <v>8806392046792</v>
      </c>
      <c r="D5225">
        <v>622</v>
      </c>
      <c r="E5225">
        <v>0</v>
      </c>
      <c r="F5225">
        <v>1</v>
      </c>
      <c r="G5225">
        <v>0</v>
      </c>
      <c r="H5225">
        <v>623</v>
      </c>
      <c r="I5225" s="183" t="s">
        <v>1030</v>
      </c>
      <c r="J5225" s="183" t="s">
        <v>12092</v>
      </c>
      <c r="K5225">
        <v>0</v>
      </c>
      <c r="L5225">
        <v>622</v>
      </c>
    </row>
    <row r="5226" spans="1:12">
      <c r="A5226" s="183" t="s">
        <v>3740</v>
      </c>
      <c r="B5226" s="183" t="s">
        <v>1029</v>
      </c>
      <c r="C5226">
        <v>8806392046822</v>
      </c>
      <c r="D5226">
        <v>97</v>
      </c>
      <c r="E5226">
        <v>0</v>
      </c>
      <c r="F5226">
        <v>2</v>
      </c>
      <c r="G5226">
        <v>0</v>
      </c>
      <c r="H5226">
        <v>99</v>
      </c>
      <c r="I5226" s="183" t="s">
        <v>1030</v>
      </c>
      <c r="J5226" s="183" t="s">
        <v>12067</v>
      </c>
      <c r="K5226">
        <v>0</v>
      </c>
      <c r="L5226">
        <v>97</v>
      </c>
    </row>
    <row r="5227" spans="1:12">
      <c r="A5227" s="183" t="s">
        <v>3790</v>
      </c>
      <c r="B5227" s="183" t="s">
        <v>1029</v>
      </c>
      <c r="C5227">
        <v>8806392046853</v>
      </c>
      <c r="D5227">
        <v>307</v>
      </c>
      <c r="E5227">
        <v>0</v>
      </c>
      <c r="F5227">
        <v>0</v>
      </c>
      <c r="G5227">
        <v>0</v>
      </c>
      <c r="H5227">
        <v>307</v>
      </c>
      <c r="I5227" s="183" t="s">
        <v>1030</v>
      </c>
      <c r="J5227" s="183" t="s">
        <v>12093</v>
      </c>
      <c r="K5227">
        <v>0</v>
      </c>
      <c r="L5227">
        <v>307</v>
      </c>
    </row>
    <row r="5228" spans="1:12">
      <c r="A5228" s="183" t="s">
        <v>3783</v>
      </c>
      <c r="B5228" s="183" t="s">
        <v>1029</v>
      </c>
      <c r="C5228">
        <v>8806392046938</v>
      </c>
      <c r="D5228">
        <v>437</v>
      </c>
      <c r="E5228">
        <v>0</v>
      </c>
      <c r="F5228">
        <v>3</v>
      </c>
      <c r="G5228">
        <v>0</v>
      </c>
      <c r="H5228">
        <v>440</v>
      </c>
      <c r="I5228" s="183" t="s">
        <v>1030</v>
      </c>
      <c r="J5228" s="183" t="s">
        <v>12092</v>
      </c>
      <c r="K5228">
        <v>0</v>
      </c>
      <c r="L5228">
        <v>437</v>
      </c>
    </row>
    <row r="5229" spans="1:12">
      <c r="A5229" s="183" t="s">
        <v>3519</v>
      </c>
      <c r="B5229" s="183" t="s">
        <v>1029</v>
      </c>
      <c r="C5229">
        <v>8806392046952</v>
      </c>
      <c r="D5229">
        <v>418</v>
      </c>
      <c r="E5229">
        <v>0</v>
      </c>
      <c r="F5229">
        <v>1</v>
      </c>
      <c r="G5229">
        <v>0</v>
      </c>
      <c r="H5229">
        <v>419</v>
      </c>
      <c r="I5229" s="183" t="s">
        <v>1030</v>
      </c>
      <c r="J5229" s="183" t="s">
        <v>12081</v>
      </c>
      <c r="K5229">
        <v>0</v>
      </c>
      <c r="L5229">
        <v>418</v>
      </c>
    </row>
    <row r="5230" spans="1:12">
      <c r="A5230" s="183" t="s">
        <v>1277</v>
      </c>
      <c r="B5230" s="183" t="s">
        <v>1029</v>
      </c>
      <c r="C5230">
        <v>8806392047010</v>
      </c>
      <c r="D5230" s="501">
        <v>2695</v>
      </c>
      <c r="E5230">
        <v>0</v>
      </c>
      <c r="F5230">
        <v>0</v>
      </c>
      <c r="G5230">
        <v>0</v>
      </c>
      <c r="H5230" s="501">
        <v>2695</v>
      </c>
      <c r="I5230" s="183" t="s">
        <v>1030</v>
      </c>
      <c r="J5230" s="183" t="s">
        <v>12094</v>
      </c>
      <c r="K5230">
        <v>0</v>
      </c>
      <c r="L5230" s="501">
        <v>2695</v>
      </c>
    </row>
    <row r="5231" spans="1:12">
      <c r="A5231" s="183" t="s">
        <v>1272</v>
      </c>
      <c r="B5231" s="183" t="s">
        <v>1029</v>
      </c>
      <c r="C5231">
        <v>8806392047027</v>
      </c>
      <c r="D5231" s="501">
        <v>1597</v>
      </c>
      <c r="E5231">
        <v>0</v>
      </c>
      <c r="F5231">
        <v>0</v>
      </c>
      <c r="G5231">
        <v>0</v>
      </c>
      <c r="H5231" s="501">
        <v>1597</v>
      </c>
      <c r="I5231" s="183" t="s">
        <v>1030</v>
      </c>
      <c r="J5231" s="183" t="s">
        <v>12093</v>
      </c>
      <c r="K5231">
        <v>0</v>
      </c>
      <c r="L5231" s="501">
        <v>1597</v>
      </c>
    </row>
    <row r="5232" spans="1:12">
      <c r="A5232" s="183" t="s">
        <v>6850</v>
      </c>
      <c r="B5232" s="183" t="s">
        <v>1026</v>
      </c>
      <c r="C5232">
        <v>8806392047072</v>
      </c>
      <c r="D5232">
        <v>559</v>
      </c>
      <c r="E5232">
        <v>0</v>
      </c>
      <c r="F5232">
        <v>0</v>
      </c>
      <c r="G5232">
        <v>0</v>
      </c>
      <c r="H5232">
        <v>559</v>
      </c>
      <c r="I5232" s="183" t="s">
        <v>1027</v>
      </c>
      <c r="J5232" s="183" t="s">
        <v>12091</v>
      </c>
      <c r="K5232">
        <v>0</v>
      </c>
      <c r="L5232">
        <v>559</v>
      </c>
    </row>
    <row r="5233" spans="1:12">
      <c r="A5233" s="183" t="s">
        <v>3870</v>
      </c>
      <c r="B5233" s="183" t="s">
        <v>1026</v>
      </c>
      <c r="C5233">
        <v>8806392047270</v>
      </c>
      <c r="D5233">
        <v>77</v>
      </c>
      <c r="E5233">
        <v>0</v>
      </c>
      <c r="F5233">
        <v>1</v>
      </c>
      <c r="G5233">
        <v>0</v>
      </c>
      <c r="H5233">
        <v>78</v>
      </c>
      <c r="I5233" s="183" t="s">
        <v>1027</v>
      </c>
      <c r="J5233" s="183" t="s">
        <v>12091</v>
      </c>
      <c r="K5233">
        <v>0</v>
      </c>
      <c r="L5233">
        <v>77</v>
      </c>
    </row>
    <row r="5234" spans="1:12">
      <c r="A5234" s="183" t="s">
        <v>641</v>
      </c>
      <c r="B5234" s="183" t="s">
        <v>1026</v>
      </c>
      <c r="C5234">
        <v>8806392047324</v>
      </c>
      <c r="D5234" s="501">
        <v>1691</v>
      </c>
      <c r="E5234">
        <v>0</v>
      </c>
      <c r="F5234">
        <v>1</v>
      </c>
      <c r="G5234">
        <v>0</v>
      </c>
      <c r="H5234" s="501">
        <v>1692</v>
      </c>
      <c r="I5234" s="183" t="s">
        <v>1027</v>
      </c>
      <c r="J5234" s="183" t="s">
        <v>12092</v>
      </c>
      <c r="K5234">
        <v>0</v>
      </c>
      <c r="L5234" s="501">
        <v>1691</v>
      </c>
    </row>
    <row r="5235" spans="1:12">
      <c r="A5235" s="183" t="s">
        <v>2515</v>
      </c>
      <c r="B5235" s="183" t="s">
        <v>1455</v>
      </c>
      <c r="C5235">
        <v>8809867707631</v>
      </c>
      <c r="D5235">
        <v>346</v>
      </c>
      <c r="E5235">
        <v>0</v>
      </c>
      <c r="F5235">
        <v>0</v>
      </c>
      <c r="G5235">
        <v>0</v>
      </c>
      <c r="H5235">
        <v>346</v>
      </c>
      <c r="I5235" s="183" t="s">
        <v>1456</v>
      </c>
      <c r="J5235" s="183" t="s">
        <v>12095</v>
      </c>
      <c r="K5235">
        <v>0</v>
      </c>
      <c r="L5235">
        <v>346</v>
      </c>
    </row>
    <row r="5236" spans="1:12">
      <c r="A5236" s="183" t="s">
        <v>2546</v>
      </c>
      <c r="B5236" s="183" t="s">
        <v>1455</v>
      </c>
      <c r="C5236">
        <v>8809867707693</v>
      </c>
      <c r="D5236">
        <v>751</v>
      </c>
      <c r="E5236">
        <v>0</v>
      </c>
      <c r="F5236">
        <v>0</v>
      </c>
      <c r="G5236">
        <v>0</v>
      </c>
      <c r="H5236">
        <v>751</v>
      </c>
      <c r="I5236" s="183" t="s">
        <v>1456</v>
      </c>
      <c r="J5236" s="183" t="s">
        <v>12063</v>
      </c>
      <c r="K5236">
        <v>0</v>
      </c>
      <c r="L5236">
        <v>751</v>
      </c>
    </row>
    <row r="5237" spans="1:12">
      <c r="A5237" s="183" t="s">
        <v>2988</v>
      </c>
      <c r="B5237" s="183" t="s">
        <v>1069</v>
      </c>
      <c r="C5237">
        <v>8806392047836</v>
      </c>
      <c r="D5237">
        <v>581</v>
      </c>
      <c r="E5237">
        <v>0</v>
      </c>
      <c r="F5237">
        <v>0</v>
      </c>
      <c r="G5237">
        <v>0</v>
      </c>
      <c r="H5237">
        <v>581</v>
      </c>
      <c r="I5237" s="183" t="s">
        <v>1070</v>
      </c>
      <c r="J5237" s="183" t="s">
        <v>12091</v>
      </c>
      <c r="K5237">
        <v>0</v>
      </c>
      <c r="L5237">
        <v>581</v>
      </c>
    </row>
    <row r="5238" spans="1:12">
      <c r="A5238" s="183" t="s">
        <v>650</v>
      </c>
      <c r="B5238" s="183" t="s">
        <v>1069</v>
      </c>
      <c r="C5238">
        <v>8806392047843</v>
      </c>
      <c r="D5238">
        <v>511</v>
      </c>
      <c r="E5238">
        <v>0</v>
      </c>
      <c r="F5238">
        <v>0</v>
      </c>
      <c r="G5238">
        <v>0</v>
      </c>
      <c r="H5238">
        <v>511</v>
      </c>
      <c r="I5238" s="183" t="s">
        <v>1070</v>
      </c>
      <c r="J5238" s="183" t="s">
        <v>12092</v>
      </c>
      <c r="K5238">
        <v>0</v>
      </c>
      <c r="L5238">
        <v>511</v>
      </c>
    </row>
    <row r="5239" spans="1:12">
      <c r="A5239" s="183" t="s">
        <v>657</v>
      </c>
      <c r="B5239" s="183" t="s">
        <v>1069</v>
      </c>
      <c r="C5239">
        <v>8806392047942</v>
      </c>
      <c r="D5239" s="501">
        <v>2246</v>
      </c>
      <c r="E5239">
        <v>0</v>
      </c>
      <c r="F5239">
        <v>0</v>
      </c>
      <c r="G5239">
        <v>0</v>
      </c>
      <c r="H5239" s="501">
        <v>2246</v>
      </c>
      <c r="I5239" s="183" t="s">
        <v>1070</v>
      </c>
      <c r="J5239" s="183" t="s">
        <v>12094</v>
      </c>
      <c r="K5239">
        <v>0</v>
      </c>
      <c r="L5239" s="501">
        <v>2246</v>
      </c>
    </row>
    <row r="5240" spans="1:12">
      <c r="A5240" s="183" t="s">
        <v>2994</v>
      </c>
      <c r="B5240" s="183" t="s">
        <v>993</v>
      </c>
      <c r="C5240">
        <v>8806392049700</v>
      </c>
      <c r="D5240">
        <v>496</v>
      </c>
      <c r="E5240">
        <v>0</v>
      </c>
      <c r="F5240">
        <v>0</v>
      </c>
      <c r="G5240">
        <v>0</v>
      </c>
      <c r="H5240">
        <v>496</v>
      </c>
      <c r="I5240" s="183" t="s">
        <v>994</v>
      </c>
      <c r="J5240" s="183" t="s">
        <v>12087</v>
      </c>
      <c r="K5240">
        <v>0</v>
      </c>
      <c r="L5240">
        <v>496</v>
      </c>
    </row>
    <row r="5241" spans="1:12">
      <c r="A5241" s="183" t="s">
        <v>3177</v>
      </c>
      <c r="B5241" s="183" t="s">
        <v>993</v>
      </c>
      <c r="C5241">
        <v>8806392049762</v>
      </c>
      <c r="D5241">
        <v>884</v>
      </c>
      <c r="E5241">
        <v>0</v>
      </c>
      <c r="F5241">
        <v>0</v>
      </c>
      <c r="G5241">
        <v>0</v>
      </c>
      <c r="H5241">
        <v>884</v>
      </c>
      <c r="I5241" s="183" t="s">
        <v>994</v>
      </c>
      <c r="J5241" s="183" t="s">
        <v>12081</v>
      </c>
      <c r="K5241">
        <v>0</v>
      </c>
      <c r="L5241">
        <v>884</v>
      </c>
    </row>
    <row r="5242" spans="1:12">
      <c r="A5242" s="183" t="s">
        <v>779</v>
      </c>
      <c r="B5242" s="183" t="s">
        <v>993</v>
      </c>
      <c r="C5242">
        <v>8806392049823</v>
      </c>
      <c r="D5242" s="501">
        <v>1295</v>
      </c>
      <c r="E5242">
        <v>0</v>
      </c>
      <c r="F5242">
        <v>0</v>
      </c>
      <c r="G5242">
        <v>0</v>
      </c>
      <c r="H5242" s="501">
        <v>1295</v>
      </c>
      <c r="I5242" s="183" t="s">
        <v>994</v>
      </c>
      <c r="J5242" s="183" t="s">
        <v>12094</v>
      </c>
      <c r="K5242">
        <v>0</v>
      </c>
      <c r="L5242" s="501">
        <v>1295</v>
      </c>
    </row>
    <row r="5243" spans="1:12">
      <c r="A5243" s="183" t="s">
        <v>780</v>
      </c>
      <c r="B5243" s="183" t="s">
        <v>993</v>
      </c>
      <c r="C5243">
        <v>8806392049878</v>
      </c>
      <c r="D5243" s="501">
        <v>2101</v>
      </c>
      <c r="E5243">
        <v>0</v>
      </c>
      <c r="F5243">
        <v>0</v>
      </c>
      <c r="G5243">
        <v>0</v>
      </c>
      <c r="H5243" s="501">
        <v>2101</v>
      </c>
      <c r="I5243" s="183" t="s">
        <v>994</v>
      </c>
      <c r="J5243" s="183" t="s">
        <v>12067</v>
      </c>
      <c r="K5243">
        <v>0</v>
      </c>
      <c r="L5243" s="501">
        <v>2101</v>
      </c>
    </row>
    <row r="5244" spans="1:12">
      <c r="A5244" s="183" t="s">
        <v>668</v>
      </c>
      <c r="B5244" s="183" t="s">
        <v>1374</v>
      </c>
      <c r="C5244">
        <v>8800143693167</v>
      </c>
      <c r="D5244">
        <v>765</v>
      </c>
      <c r="E5244">
        <v>0</v>
      </c>
      <c r="F5244">
        <v>0</v>
      </c>
      <c r="G5244">
        <v>0</v>
      </c>
      <c r="H5244">
        <v>765</v>
      </c>
      <c r="I5244" s="183" t="s">
        <v>1023</v>
      </c>
      <c r="J5244" s="183" t="s">
        <v>12085</v>
      </c>
      <c r="K5244">
        <v>0</v>
      </c>
      <c r="L5244">
        <v>765</v>
      </c>
    </row>
    <row r="5245" spans="1:12">
      <c r="A5245" s="183" t="s">
        <v>3129</v>
      </c>
      <c r="B5245" s="183" t="s">
        <v>3130</v>
      </c>
      <c r="C5245">
        <v>8800143693204</v>
      </c>
      <c r="D5245" s="501">
        <v>1002</v>
      </c>
      <c r="E5245">
        <v>0</v>
      </c>
      <c r="F5245">
        <v>0</v>
      </c>
      <c r="G5245">
        <v>0</v>
      </c>
      <c r="H5245" s="501">
        <v>1002</v>
      </c>
      <c r="I5245" s="183" t="s">
        <v>1023</v>
      </c>
      <c r="J5245" s="183" t="s">
        <v>12087</v>
      </c>
      <c r="K5245">
        <v>0</v>
      </c>
      <c r="L5245" s="501">
        <v>1002</v>
      </c>
    </row>
    <row r="5246" spans="1:12">
      <c r="A5246" s="183" t="s">
        <v>670</v>
      </c>
      <c r="B5246" s="183" t="s">
        <v>1268</v>
      </c>
      <c r="C5246">
        <v>8800143693259</v>
      </c>
      <c r="D5246" s="501">
        <v>2158</v>
      </c>
      <c r="E5246">
        <v>0</v>
      </c>
      <c r="F5246">
        <v>0</v>
      </c>
      <c r="G5246">
        <v>0</v>
      </c>
      <c r="H5246" s="501">
        <v>2158</v>
      </c>
      <c r="I5246" s="183" t="s">
        <v>1023</v>
      </c>
      <c r="J5246" s="183" t="s">
        <v>12066</v>
      </c>
      <c r="K5246">
        <v>0</v>
      </c>
      <c r="L5246" s="501">
        <v>2158</v>
      </c>
    </row>
    <row r="5247" spans="1:12">
      <c r="A5247" s="183" t="s">
        <v>3131</v>
      </c>
      <c r="B5247" s="183" t="s">
        <v>3132</v>
      </c>
      <c r="C5247">
        <v>8800143693266</v>
      </c>
      <c r="D5247" s="501">
        <v>1990</v>
      </c>
      <c r="E5247">
        <v>0</v>
      </c>
      <c r="F5247">
        <v>0</v>
      </c>
      <c r="G5247">
        <v>0</v>
      </c>
      <c r="H5247" s="501">
        <v>1990</v>
      </c>
      <c r="I5247" s="183" t="s">
        <v>1023</v>
      </c>
      <c r="J5247" s="183" t="s">
        <v>12094</v>
      </c>
      <c r="K5247">
        <v>0</v>
      </c>
      <c r="L5247" s="501">
        <v>1990</v>
      </c>
    </row>
    <row r="5248" spans="1:12">
      <c r="A5248" s="183" t="s">
        <v>3135</v>
      </c>
      <c r="B5248" s="183" t="s">
        <v>3136</v>
      </c>
      <c r="C5248">
        <v>8800143693273</v>
      </c>
      <c r="D5248" s="501">
        <v>1476</v>
      </c>
      <c r="E5248">
        <v>0</v>
      </c>
      <c r="F5248">
        <v>0</v>
      </c>
      <c r="G5248">
        <v>0</v>
      </c>
      <c r="H5248" s="501">
        <v>1476</v>
      </c>
      <c r="I5248" s="183" t="s">
        <v>1023</v>
      </c>
      <c r="J5248" s="183" t="s">
        <v>12050</v>
      </c>
      <c r="K5248">
        <v>0</v>
      </c>
      <c r="L5248" s="501">
        <v>1476</v>
      </c>
    </row>
    <row r="5249" spans="1:12">
      <c r="A5249" s="183" t="s">
        <v>673</v>
      </c>
      <c r="B5249" s="183" t="s">
        <v>1269</v>
      </c>
      <c r="C5249">
        <v>8800143693334</v>
      </c>
      <c r="D5249" s="501">
        <v>2823</v>
      </c>
      <c r="E5249">
        <v>0</v>
      </c>
      <c r="F5249">
        <v>0</v>
      </c>
      <c r="G5249">
        <v>0</v>
      </c>
      <c r="H5249" s="501">
        <v>2823</v>
      </c>
      <c r="I5249" s="183" t="s">
        <v>1023</v>
      </c>
      <c r="J5249" s="183" t="s">
        <v>12085</v>
      </c>
      <c r="K5249">
        <v>0</v>
      </c>
      <c r="L5249" s="501">
        <v>2823</v>
      </c>
    </row>
    <row r="5250" spans="1:12">
      <c r="A5250" s="183" t="s">
        <v>678</v>
      </c>
      <c r="B5250" s="183" t="s">
        <v>1066</v>
      </c>
      <c r="C5250">
        <v>8800143693389</v>
      </c>
      <c r="D5250" s="501">
        <v>1283</v>
      </c>
      <c r="E5250">
        <v>0</v>
      </c>
      <c r="F5250">
        <v>0</v>
      </c>
      <c r="G5250">
        <v>0</v>
      </c>
      <c r="H5250" s="501">
        <v>1283</v>
      </c>
      <c r="I5250" s="183" t="s">
        <v>1023</v>
      </c>
      <c r="J5250" s="183" t="s">
        <v>12053</v>
      </c>
      <c r="K5250">
        <v>0</v>
      </c>
      <c r="L5250" s="501">
        <v>1283</v>
      </c>
    </row>
    <row r="5251" spans="1:12">
      <c r="A5251" s="183" t="s">
        <v>6435</v>
      </c>
      <c r="B5251" s="183" t="s">
        <v>3451</v>
      </c>
      <c r="C5251">
        <v>8809986728340</v>
      </c>
      <c r="D5251" s="501">
        <v>1190</v>
      </c>
      <c r="E5251">
        <v>0</v>
      </c>
      <c r="F5251">
        <v>0</v>
      </c>
      <c r="G5251">
        <v>0</v>
      </c>
      <c r="H5251" s="501">
        <v>1190</v>
      </c>
      <c r="I5251" s="183" t="s">
        <v>3443</v>
      </c>
      <c r="J5251" s="183" t="s">
        <v>12081</v>
      </c>
      <c r="K5251">
        <v>0</v>
      </c>
      <c r="L5251" s="501">
        <v>1190</v>
      </c>
    </row>
    <row r="5252" spans="1:12">
      <c r="A5252" s="183" t="s">
        <v>3450</v>
      </c>
      <c r="B5252" s="183" t="s">
        <v>3451</v>
      </c>
      <c r="C5252">
        <v>8809986728357</v>
      </c>
      <c r="D5252">
        <v>783</v>
      </c>
      <c r="E5252">
        <v>0</v>
      </c>
      <c r="F5252">
        <v>0</v>
      </c>
      <c r="G5252">
        <v>0</v>
      </c>
      <c r="H5252">
        <v>783</v>
      </c>
      <c r="I5252" s="183" t="s">
        <v>3443</v>
      </c>
      <c r="J5252" s="183" t="s">
        <v>12081</v>
      </c>
      <c r="K5252">
        <v>0</v>
      </c>
      <c r="L5252">
        <v>783</v>
      </c>
    </row>
    <row r="5253" spans="1:12">
      <c r="A5253" s="183" t="s">
        <v>3448</v>
      </c>
      <c r="B5253" s="183" t="s">
        <v>3449</v>
      </c>
      <c r="C5253">
        <v>8809986728456</v>
      </c>
      <c r="D5253">
        <v>556</v>
      </c>
      <c r="E5253">
        <v>0</v>
      </c>
      <c r="F5253">
        <v>0</v>
      </c>
      <c r="G5253">
        <v>0</v>
      </c>
      <c r="H5253">
        <v>556</v>
      </c>
      <c r="I5253" s="183" t="s">
        <v>3443</v>
      </c>
      <c r="J5253" s="183" t="s">
        <v>12067</v>
      </c>
      <c r="K5253">
        <v>0</v>
      </c>
      <c r="L5253">
        <v>556</v>
      </c>
    </row>
    <row r="5254" spans="1:12">
      <c r="A5254" s="183" t="s">
        <v>3454</v>
      </c>
      <c r="B5254" s="183" t="s">
        <v>3455</v>
      </c>
      <c r="C5254">
        <v>8809986728562</v>
      </c>
      <c r="D5254">
        <v>392</v>
      </c>
      <c r="E5254">
        <v>0</v>
      </c>
      <c r="F5254">
        <v>4</v>
      </c>
      <c r="G5254">
        <v>0</v>
      </c>
      <c r="H5254">
        <v>396</v>
      </c>
      <c r="I5254" s="183" t="s">
        <v>3443</v>
      </c>
      <c r="J5254" s="183" t="s">
        <v>12094</v>
      </c>
      <c r="K5254">
        <v>0</v>
      </c>
      <c r="L5254">
        <v>392</v>
      </c>
    </row>
    <row r="5255" spans="1:12">
      <c r="A5255" s="183" t="s">
        <v>3469</v>
      </c>
      <c r="B5255" s="183" t="s">
        <v>3470</v>
      </c>
      <c r="C5255">
        <v>8809986728586</v>
      </c>
      <c r="D5255">
        <v>160</v>
      </c>
      <c r="E5255">
        <v>0</v>
      </c>
      <c r="F5255">
        <v>0</v>
      </c>
      <c r="G5255">
        <v>0</v>
      </c>
      <c r="H5255">
        <v>160</v>
      </c>
      <c r="I5255" s="183" t="s">
        <v>3443</v>
      </c>
      <c r="J5255" s="183" t="s">
        <v>12087</v>
      </c>
      <c r="K5255">
        <v>0</v>
      </c>
      <c r="L5255">
        <v>160</v>
      </c>
    </row>
    <row r="5256" spans="1:12">
      <c r="A5256" s="183" t="s">
        <v>3876</v>
      </c>
      <c r="B5256" s="183" t="s">
        <v>3877</v>
      </c>
      <c r="C5256">
        <v>8809986728630</v>
      </c>
      <c r="D5256">
        <v>434</v>
      </c>
      <c r="E5256">
        <v>0</v>
      </c>
      <c r="F5256">
        <v>0</v>
      </c>
      <c r="G5256">
        <v>0</v>
      </c>
      <c r="H5256">
        <v>434</v>
      </c>
      <c r="I5256" s="183" t="s">
        <v>3878</v>
      </c>
      <c r="J5256" s="183" t="s">
        <v>12053</v>
      </c>
      <c r="K5256">
        <v>0</v>
      </c>
      <c r="L5256">
        <v>434</v>
      </c>
    </row>
    <row r="5257" spans="1:12">
      <c r="A5257" s="183" t="s">
        <v>3915</v>
      </c>
      <c r="B5257" s="183" t="s">
        <v>3880</v>
      </c>
      <c r="C5257">
        <v>8809986728661</v>
      </c>
      <c r="D5257">
        <v>377</v>
      </c>
      <c r="E5257">
        <v>0</v>
      </c>
      <c r="F5257">
        <v>0</v>
      </c>
      <c r="G5257">
        <v>0</v>
      </c>
      <c r="H5257">
        <v>377</v>
      </c>
      <c r="I5257" s="183" t="s">
        <v>3878</v>
      </c>
      <c r="J5257" s="183" t="s">
        <v>12092</v>
      </c>
      <c r="K5257">
        <v>0</v>
      </c>
      <c r="L5257">
        <v>377</v>
      </c>
    </row>
    <row r="5258" spans="1:12">
      <c r="A5258" s="183" t="s">
        <v>3888</v>
      </c>
      <c r="B5258" s="183" t="s">
        <v>3889</v>
      </c>
      <c r="C5258">
        <v>8809986728753</v>
      </c>
      <c r="D5258">
        <v>317</v>
      </c>
      <c r="E5258">
        <v>0</v>
      </c>
      <c r="F5258">
        <v>0</v>
      </c>
      <c r="G5258">
        <v>0</v>
      </c>
      <c r="H5258">
        <v>317</v>
      </c>
      <c r="I5258" s="183" t="s">
        <v>3878</v>
      </c>
      <c r="J5258" s="183" t="s">
        <v>12067</v>
      </c>
      <c r="K5258">
        <v>0</v>
      </c>
      <c r="L5258">
        <v>317</v>
      </c>
    </row>
    <row r="5259" spans="1:12">
      <c r="A5259" s="183" t="s">
        <v>3897</v>
      </c>
      <c r="B5259" s="183" t="s">
        <v>3896</v>
      </c>
      <c r="C5259">
        <v>8809986728777</v>
      </c>
      <c r="D5259">
        <v>306</v>
      </c>
      <c r="E5259">
        <v>0</v>
      </c>
      <c r="F5259">
        <v>0</v>
      </c>
      <c r="G5259">
        <v>0</v>
      </c>
      <c r="H5259">
        <v>306</v>
      </c>
      <c r="I5259" s="183" t="s">
        <v>3878</v>
      </c>
      <c r="J5259" s="183" t="s">
        <v>12094</v>
      </c>
      <c r="K5259">
        <v>0</v>
      </c>
      <c r="L5259">
        <v>306</v>
      </c>
    </row>
    <row r="5260" spans="1:12">
      <c r="A5260" s="183" t="s">
        <v>3920</v>
      </c>
      <c r="B5260" s="183" t="s">
        <v>3921</v>
      </c>
      <c r="C5260">
        <v>8809986728913</v>
      </c>
      <c r="D5260">
        <v>629</v>
      </c>
      <c r="E5260">
        <v>0</v>
      </c>
      <c r="F5260">
        <v>0</v>
      </c>
      <c r="G5260">
        <v>0</v>
      </c>
      <c r="H5260">
        <v>629</v>
      </c>
      <c r="I5260" s="183" t="s">
        <v>3878</v>
      </c>
      <c r="J5260" s="183" t="s">
        <v>12067</v>
      </c>
      <c r="K5260">
        <v>0</v>
      </c>
      <c r="L5260">
        <v>629</v>
      </c>
    </row>
    <row r="5261" spans="1:12">
      <c r="A5261" s="183" t="s">
        <v>3911</v>
      </c>
      <c r="B5261" s="183" t="s">
        <v>3912</v>
      </c>
      <c r="C5261">
        <v>8809986728920</v>
      </c>
      <c r="D5261">
        <v>111</v>
      </c>
      <c r="E5261">
        <v>0</v>
      </c>
      <c r="F5261">
        <v>0</v>
      </c>
      <c r="G5261">
        <v>0</v>
      </c>
      <c r="H5261">
        <v>111</v>
      </c>
      <c r="I5261" s="183" t="s">
        <v>3878</v>
      </c>
      <c r="J5261" s="183" t="s">
        <v>12092</v>
      </c>
      <c r="K5261">
        <v>0</v>
      </c>
      <c r="L5261">
        <v>111</v>
      </c>
    </row>
    <row r="5262" spans="1:12">
      <c r="A5262" s="183" t="s">
        <v>3596</v>
      </c>
      <c r="B5262" s="183" t="s">
        <v>3576</v>
      </c>
      <c r="C5262">
        <v>8800245474206</v>
      </c>
      <c r="D5262">
        <v>436</v>
      </c>
      <c r="E5262">
        <v>0</v>
      </c>
      <c r="F5262">
        <v>0</v>
      </c>
      <c r="G5262">
        <v>0</v>
      </c>
      <c r="H5262">
        <v>436</v>
      </c>
      <c r="I5262" s="183" t="s">
        <v>3577</v>
      </c>
      <c r="J5262" s="183" t="s">
        <v>12093</v>
      </c>
      <c r="K5262">
        <v>0</v>
      </c>
      <c r="L5262">
        <v>436</v>
      </c>
    </row>
    <row r="5263" spans="1:12">
      <c r="A5263" s="183" t="s">
        <v>3807</v>
      </c>
      <c r="B5263" s="183" t="s">
        <v>3576</v>
      </c>
      <c r="C5263">
        <v>8800245474213</v>
      </c>
      <c r="D5263">
        <v>238</v>
      </c>
      <c r="E5263">
        <v>0</v>
      </c>
      <c r="F5263">
        <v>0</v>
      </c>
      <c r="G5263">
        <v>0</v>
      </c>
      <c r="H5263">
        <v>238</v>
      </c>
      <c r="I5263" s="183" t="s">
        <v>3577</v>
      </c>
      <c r="J5263" s="183" t="s">
        <v>12093</v>
      </c>
      <c r="K5263">
        <v>0</v>
      </c>
      <c r="L5263">
        <v>238</v>
      </c>
    </row>
    <row r="5264" spans="1:12">
      <c r="A5264" s="183" t="s">
        <v>3805</v>
      </c>
      <c r="B5264" s="183" t="s">
        <v>3576</v>
      </c>
      <c r="C5264">
        <v>8800245474237</v>
      </c>
      <c r="D5264">
        <v>631</v>
      </c>
      <c r="E5264">
        <v>0</v>
      </c>
      <c r="F5264">
        <v>0</v>
      </c>
      <c r="G5264">
        <v>0</v>
      </c>
      <c r="H5264">
        <v>631</v>
      </c>
      <c r="I5264" s="183" t="s">
        <v>3577</v>
      </c>
      <c r="J5264" s="183" t="s">
        <v>12091</v>
      </c>
      <c r="K5264">
        <v>0</v>
      </c>
      <c r="L5264">
        <v>631</v>
      </c>
    </row>
    <row r="5265" spans="1:12">
      <c r="A5265" s="183" t="s">
        <v>3623</v>
      </c>
      <c r="B5265" s="183" t="s">
        <v>3576</v>
      </c>
      <c r="C5265">
        <v>8800245474329</v>
      </c>
      <c r="D5265" s="501">
        <v>2095</v>
      </c>
      <c r="E5265">
        <v>0</v>
      </c>
      <c r="F5265">
        <v>0</v>
      </c>
      <c r="G5265">
        <v>0</v>
      </c>
      <c r="H5265" s="501">
        <v>2095</v>
      </c>
      <c r="I5265" s="183" t="s">
        <v>3577</v>
      </c>
      <c r="J5265" s="183" t="s">
        <v>12092</v>
      </c>
      <c r="K5265">
        <v>0</v>
      </c>
      <c r="L5265" s="501">
        <v>2095</v>
      </c>
    </row>
    <row r="5266" spans="1:12">
      <c r="A5266" s="183" t="s">
        <v>3799</v>
      </c>
      <c r="B5266" s="183" t="s">
        <v>3576</v>
      </c>
      <c r="C5266">
        <v>8800245474367</v>
      </c>
      <c r="D5266">
        <v>306</v>
      </c>
      <c r="E5266">
        <v>0</v>
      </c>
      <c r="F5266">
        <v>0</v>
      </c>
      <c r="G5266">
        <v>0</v>
      </c>
      <c r="H5266">
        <v>306</v>
      </c>
      <c r="I5266" s="183" t="s">
        <v>3577</v>
      </c>
      <c r="J5266" s="183" t="s">
        <v>12091</v>
      </c>
      <c r="K5266">
        <v>0</v>
      </c>
      <c r="L5266">
        <v>306</v>
      </c>
    </row>
    <row r="5267" spans="1:12">
      <c r="A5267" s="183" t="s">
        <v>3808</v>
      </c>
      <c r="B5267" s="183" t="s">
        <v>3576</v>
      </c>
      <c r="C5267">
        <v>8800245474398</v>
      </c>
      <c r="D5267">
        <v>434</v>
      </c>
      <c r="E5267">
        <v>0</v>
      </c>
      <c r="F5267">
        <v>0</v>
      </c>
      <c r="G5267">
        <v>0</v>
      </c>
      <c r="H5267">
        <v>434</v>
      </c>
      <c r="I5267" s="183" t="s">
        <v>3577</v>
      </c>
      <c r="J5267" s="183" t="s">
        <v>12091</v>
      </c>
      <c r="K5267">
        <v>0</v>
      </c>
      <c r="L5267">
        <v>434</v>
      </c>
    </row>
    <row r="5268" spans="1:12">
      <c r="A5268" s="183" t="s">
        <v>3650</v>
      </c>
      <c r="B5268" s="183" t="s">
        <v>3576</v>
      </c>
      <c r="C5268">
        <v>8800245474442</v>
      </c>
      <c r="D5268" s="501">
        <v>1505</v>
      </c>
      <c r="E5268">
        <v>0</v>
      </c>
      <c r="F5268">
        <v>0</v>
      </c>
      <c r="G5268">
        <v>0</v>
      </c>
      <c r="H5268" s="501">
        <v>1505</v>
      </c>
      <c r="I5268" s="183" t="s">
        <v>3577</v>
      </c>
      <c r="J5268" s="183" t="s">
        <v>12059</v>
      </c>
      <c r="K5268">
        <v>0</v>
      </c>
      <c r="L5268" s="501">
        <v>1505</v>
      </c>
    </row>
    <row r="5269" spans="1:12">
      <c r="A5269" s="183" t="s">
        <v>3975</v>
      </c>
      <c r="B5269" s="183" t="s">
        <v>3576</v>
      </c>
      <c r="C5269">
        <v>8800245474459</v>
      </c>
      <c r="D5269" s="501">
        <v>1609</v>
      </c>
      <c r="E5269">
        <v>0</v>
      </c>
      <c r="F5269">
        <v>0</v>
      </c>
      <c r="G5269">
        <v>0</v>
      </c>
      <c r="H5269" s="501">
        <v>1609</v>
      </c>
      <c r="I5269" s="183" t="s">
        <v>3577</v>
      </c>
      <c r="J5269" s="183" t="s">
        <v>12053</v>
      </c>
      <c r="K5269">
        <v>0</v>
      </c>
      <c r="L5269" s="501">
        <v>1609</v>
      </c>
    </row>
    <row r="5270" spans="1:12">
      <c r="A5270" s="183" t="s">
        <v>3680</v>
      </c>
      <c r="B5270" s="183" t="s">
        <v>3576</v>
      </c>
      <c r="C5270">
        <v>8800245474558</v>
      </c>
      <c r="D5270" s="501">
        <v>1377</v>
      </c>
      <c r="E5270">
        <v>0</v>
      </c>
      <c r="F5270">
        <v>0</v>
      </c>
      <c r="G5270">
        <v>0</v>
      </c>
      <c r="H5270" s="501">
        <v>1377</v>
      </c>
      <c r="I5270" s="183" t="s">
        <v>3577</v>
      </c>
      <c r="J5270" s="183" t="s">
        <v>12059</v>
      </c>
      <c r="K5270">
        <v>0</v>
      </c>
      <c r="L5270" s="501">
        <v>1377</v>
      </c>
    </row>
    <row r="5271" spans="1:12">
      <c r="A5271" s="183" t="s">
        <v>3584</v>
      </c>
      <c r="B5271" s="183" t="s">
        <v>3576</v>
      </c>
      <c r="C5271">
        <v>8800245474596</v>
      </c>
      <c r="D5271" s="501">
        <v>1451</v>
      </c>
      <c r="E5271">
        <v>0</v>
      </c>
      <c r="F5271">
        <v>0</v>
      </c>
      <c r="G5271">
        <v>0</v>
      </c>
      <c r="H5271" s="501">
        <v>1451</v>
      </c>
      <c r="I5271" s="183" t="s">
        <v>3577</v>
      </c>
      <c r="J5271" s="183" t="s">
        <v>12092</v>
      </c>
      <c r="K5271">
        <v>0</v>
      </c>
      <c r="L5271" s="501">
        <v>1451</v>
      </c>
    </row>
    <row r="5272" spans="1:12">
      <c r="A5272" s="183" t="s">
        <v>3820</v>
      </c>
      <c r="B5272" s="183" t="s">
        <v>3576</v>
      </c>
      <c r="C5272">
        <v>8800245474695</v>
      </c>
      <c r="D5272">
        <v>75</v>
      </c>
      <c r="E5272">
        <v>0</v>
      </c>
      <c r="F5272">
        <v>0</v>
      </c>
      <c r="G5272">
        <v>0</v>
      </c>
      <c r="H5272">
        <v>75</v>
      </c>
      <c r="I5272" s="183" t="s">
        <v>3577</v>
      </c>
      <c r="J5272" s="183" t="s">
        <v>12060</v>
      </c>
      <c r="K5272">
        <v>0</v>
      </c>
      <c r="L5272">
        <v>75</v>
      </c>
    </row>
    <row r="5273" spans="1:12">
      <c r="A5273" s="183" t="s">
        <v>3622</v>
      </c>
      <c r="B5273" s="183" t="s">
        <v>3574</v>
      </c>
      <c r="C5273">
        <v>8800245474985</v>
      </c>
      <c r="D5273">
        <v>600</v>
      </c>
      <c r="E5273">
        <v>0</v>
      </c>
      <c r="F5273">
        <v>0</v>
      </c>
      <c r="G5273">
        <v>0</v>
      </c>
      <c r="H5273">
        <v>600</v>
      </c>
      <c r="I5273" s="183" t="s">
        <v>3575</v>
      </c>
      <c r="J5273" s="183" t="s">
        <v>12093</v>
      </c>
      <c r="K5273">
        <v>0</v>
      </c>
      <c r="L5273">
        <v>600</v>
      </c>
    </row>
    <row r="5274" spans="1:12">
      <c r="A5274" s="183" t="s">
        <v>3595</v>
      </c>
      <c r="B5274" s="183" t="s">
        <v>3574</v>
      </c>
      <c r="C5274">
        <v>8800245475012</v>
      </c>
      <c r="D5274">
        <v>979</v>
      </c>
      <c r="E5274">
        <v>0</v>
      </c>
      <c r="F5274">
        <v>1</v>
      </c>
      <c r="G5274">
        <v>0</v>
      </c>
      <c r="H5274">
        <v>980</v>
      </c>
      <c r="I5274" s="183" t="s">
        <v>3575</v>
      </c>
      <c r="J5274" s="183" t="s">
        <v>12091</v>
      </c>
      <c r="K5274">
        <v>0</v>
      </c>
      <c r="L5274">
        <v>979</v>
      </c>
    </row>
    <row r="5275" spans="1:12">
      <c r="A5275" s="183" t="s">
        <v>3642</v>
      </c>
      <c r="B5275" s="183" t="s">
        <v>3574</v>
      </c>
      <c r="C5275">
        <v>8800245475036</v>
      </c>
      <c r="D5275" s="501">
        <v>1268</v>
      </c>
      <c r="E5275">
        <v>0</v>
      </c>
      <c r="F5275">
        <v>0</v>
      </c>
      <c r="G5275">
        <v>0</v>
      </c>
      <c r="H5275" s="501">
        <v>1268</v>
      </c>
      <c r="I5275" s="183" t="s">
        <v>3575</v>
      </c>
      <c r="J5275" s="183" t="s">
        <v>12059</v>
      </c>
      <c r="K5275">
        <v>0</v>
      </c>
      <c r="L5275" s="501">
        <v>1268</v>
      </c>
    </row>
    <row r="5276" spans="1:12">
      <c r="A5276" s="183" t="s">
        <v>3986</v>
      </c>
      <c r="B5276" s="183" t="s">
        <v>3574</v>
      </c>
      <c r="C5276">
        <v>8800245475234</v>
      </c>
      <c r="D5276">
        <v>435</v>
      </c>
      <c r="E5276">
        <v>0</v>
      </c>
      <c r="F5276">
        <v>0</v>
      </c>
      <c r="G5276">
        <v>0</v>
      </c>
      <c r="H5276">
        <v>435</v>
      </c>
      <c r="I5276" s="183" t="s">
        <v>3575</v>
      </c>
      <c r="J5276" s="183" t="s">
        <v>12094</v>
      </c>
      <c r="K5276">
        <v>0</v>
      </c>
      <c r="L5276">
        <v>435</v>
      </c>
    </row>
    <row r="5277" spans="1:12">
      <c r="A5277" s="183" t="s">
        <v>4063</v>
      </c>
      <c r="B5277" s="183" t="s">
        <v>3574</v>
      </c>
      <c r="C5277">
        <v>8800245475296</v>
      </c>
      <c r="D5277">
        <v>308</v>
      </c>
      <c r="E5277">
        <v>0</v>
      </c>
      <c r="F5277">
        <v>0</v>
      </c>
      <c r="G5277">
        <v>0</v>
      </c>
      <c r="H5277">
        <v>308</v>
      </c>
      <c r="I5277" s="183" t="s">
        <v>3575</v>
      </c>
      <c r="J5277" s="183" t="s">
        <v>12048</v>
      </c>
      <c r="K5277">
        <v>0</v>
      </c>
      <c r="L5277">
        <v>308</v>
      </c>
    </row>
    <row r="5278" spans="1:12">
      <c r="A5278" s="183" t="s">
        <v>2518</v>
      </c>
      <c r="B5278" s="183" t="s">
        <v>1330</v>
      </c>
      <c r="C5278">
        <v>15550222</v>
      </c>
      <c r="D5278">
        <v>58</v>
      </c>
      <c r="E5278">
        <v>0</v>
      </c>
      <c r="F5278">
        <v>0</v>
      </c>
      <c r="G5278">
        <v>0</v>
      </c>
      <c r="H5278">
        <v>58</v>
      </c>
      <c r="I5278" s="183" t="s">
        <v>1331</v>
      </c>
      <c r="J5278" s="183" t="s">
        <v>12087</v>
      </c>
      <c r="K5278">
        <v>0</v>
      </c>
      <c r="L5278">
        <v>58</v>
      </c>
    </row>
    <row r="5279" spans="1:12">
      <c r="A5279" s="183" t="s">
        <v>2503</v>
      </c>
      <c r="B5279" s="183" t="s">
        <v>1458</v>
      </c>
      <c r="C5279">
        <v>15560205</v>
      </c>
      <c r="D5279">
        <v>74</v>
      </c>
      <c r="E5279">
        <v>0</v>
      </c>
      <c r="F5279">
        <v>0</v>
      </c>
      <c r="G5279">
        <v>0</v>
      </c>
      <c r="H5279">
        <v>74</v>
      </c>
      <c r="I5279" s="183" t="s">
        <v>1459</v>
      </c>
      <c r="J5279" s="183" t="s">
        <v>12067</v>
      </c>
      <c r="K5279">
        <v>0</v>
      </c>
      <c r="L5279">
        <v>74</v>
      </c>
    </row>
    <row r="5280" spans="1:12">
      <c r="A5280" s="183" t="s">
        <v>2344</v>
      </c>
      <c r="B5280" s="183" t="s">
        <v>1458</v>
      </c>
      <c r="C5280">
        <v>15560208</v>
      </c>
      <c r="D5280">
        <v>26</v>
      </c>
      <c r="E5280">
        <v>0</v>
      </c>
      <c r="F5280">
        <v>0</v>
      </c>
      <c r="G5280">
        <v>0</v>
      </c>
      <c r="H5280">
        <v>26</v>
      </c>
      <c r="I5280" s="183" t="s">
        <v>1459</v>
      </c>
      <c r="J5280" s="183" t="s">
        <v>12092</v>
      </c>
      <c r="K5280">
        <v>0</v>
      </c>
      <c r="L5280">
        <v>26</v>
      </c>
    </row>
    <row r="5281" spans="1:12">
      <c r="A5281" s="183" t="s">
        <v>1533</v>
      </c>
      <c r="B5281" s="183" t="s">
        <v>1458</v>
      </c>
      <c r="C5281">
        <v>15560216</v>
      </c>
      <c r="D5281">
        <v>85</v>
      </c>
      <c r="E5281">
        <v>0</v>
      </c>
      <c r="F5281">
        <v>0</v>
      </c>
      <c r="G5281">
        <v>0</v>
      </c>
      <c r="H5281">
        <v>85</v>
      </c>
      <c r="I5281" s="183" t="s">
        <v>1459</v>
      </c>
      <c r="J5281" s="183" t="s">
        <v>12053</v>
      </c>
      <c r="K5281">
        <v>0</v>
      </c>
      <c r="L5281">
        <v>85</v>
      </c>
    </row>
    <row r="5282" spans="1:12">
      <c r="A5282" s="183" t="s">
        <v>2214</v>
      </c>
      <c r="B5282" s="183" t="s">
        <v>1458</v>
      </c>
      <c r="C5282">
        <v>15560218</v>
      </c>
      <c r="D5282">
        <v>90</v>
      </c>
      <c r="E5282">
        <v>0</v>
      </c>
      <c r="F5282">
        <v>0</v>
      </c>
      <c r="G5282">
        <v>0</v>
      </c>
      <c r="H5282">
        <v>90</v>
      </c>
      <c r="I5282" s="183" t="s">
        <v>1459</v>
      </c>
      <c r="J5282" s="183" t="s">
        <v>12092</v>
      </c>
      <c r="K5282">
        <v>0</v>
      </c>
      <c r="L5282">
        <v>90</v>
      </c>
    </row>
    <row r="5283" spans="1:12">
      <c r="A5283" s="183" t="s">
        <v>2537</v>
      </c>
      <c r="B5283" s="183" t="s">
        <v>1341</v>
      </c>
      <c r="C5283">
        <v>15570202</v>
      </c>
      <c r="D5283">
        <v>110</v>
      </c>
      <c r="E5283">
        <v>0</v>
      </c>
      <c r="F5283">
        <v>1</v>
      </c>
      <c r="G5283">
        <v>0</v>
      </c>
      <c r="H5283">
        <v>111</v>
      </c>
      <c r="I5283" s="183" t="s">
        <v>1342</v>
      </c>
      <c r="J5283" s="183" t="s">
        <v>12081</v>
      </c>
      <c r="K5283">
        <v>0</v>
      </c>
      <c r="L5283">
        <v>110</v>
      </c>
    </row>
    <row r="5284" spans="1:12">
      <c r="A5284" s="183" t="s">
        <v>1900</v>
      </c>
      <c r="B5284" s="183" t="s">
        <v>1341</v>
      </c>
      <c r="C5284">
        <v>15570214</v>
      </c>
      <c r="D5284">
        <v>148</v>
      </c>
      <c r="E5284">
        <v>0</v>
      </c>
      <c r="F5284">
        <v>0</v>
      </c>
      <c r="G5284">
        <v>0</v>
      </c>
      <c r="H5284">
        <v>148</v>
      </c>
      <c r="I5284" s="183" t="s">
        <v>1342</v>
      </c>
      <c r="J5284" s="183" t="s">
        <v>12067</v>
      </c>
      <c r="K5284">
        <v>0</v>
      </c>
      <c r="L5284">
        <v>148</v>
      </c>
    </row>
    <row r="5285" spans="1:12">
      <c r="A5285" s="183" t="s">
        <v>2512</v>
      </c>
      <c r="B5285" s="183" t="s">
        <v>1341</v>
      </c>
      <c r="C5285">
        <v>15570216</v>
      </c>
      <c r="D5285">
        <v>78</v>
      </c>
      <c r="E5285">
        <v>0</v>
      </c>
      <c r="F5285">
        <v>0</v>
      </c>
      <c r="G5285">
        <v>0</v>
      </c>
      <c r="H5285">
        <v>78</v>
      </c>
      <c r="I5285" s="183" t="s">
        <v>1342</v>
      </c>
      <c r="J5285" s="183" t="s">
        <v>12081</v>
      </c>
      <c r="K5285">
        <v>0</v>
      </c>
      <c r="L5285">
        <v>78</v>
      </c>
    </row>
    <row r="5286" spans="1:12">
      <c r="A5286" s="183" t="s">
        <v>2345</v>
      </c>
      <c r="B5286" s="183" t="s">
        <v>1371</v>
      </c>
      <c r="C5286">
        <v>17120215</v>
      </c>
      <c r="D5286">
        <v>123</v>
      </c>
      <c r="E5286">
        <v>0</v>
      </c>
      <c r="F5286">
        <v>0</v>
      </c>
      <c r="G5286">
        <v>0</v>
      </c>
      <c r="H5286">
        <v>123</v>
      </c>
      <c r="I5286" s="183" t="s">
        <v>1372</v>
      </c>
      <c r="J5286" s="183" t="s">
        <v>12053</v>
      </c>
      <c r="K5286">
        <v>0</v>
      </c>
      <c r="L5286">
        <v>123</v>
      </c>
    </row>
    <row r="5287" spans="1:12">
      <c r="A5287" s="183" t="s">
        <v>2202</v>
      </c>
      <c r="B5287" s="183" t="s">
        <v>1371</v>
      </c>
      <c r="C5287">
        <v>17120217</v>
      </c>
      <c r="D5287">
        <v>190</v>
      </c>
      <c r="E5287">
        <v>0</v>
      </c>
      <c r="F5287">
        <v>0</v>
      </c>
      <c r="G5287">
        <v>0</v>
      </c>
      <c r="H5287">
        <v>190</v>
      </c>
      <c r="I5287" s="183" t="s">
        <v>1372</v>
      </c>
      <c r="J5287" s="183" t="s">
        <v>12052</v>
      </c>
      <c r="K5287">
        <v>0</v>
      </c>
      <c r="L5287">
        <v>190</v>
      </c>
    </row>
    <row r="5288" spans="1:12">
      <c r="A5288" s="183" t="s">
        <v>2042</v>
      </c>
      <c r="B5288" s="183" t="s">
        <v>1371</v>
      </c>
      <c r="C5288">
        <v>17120224</v>
      </c>
      <c r="D5288">
        <v>103</v>
      </c>
      <c r="E5288">
        <v>0</v>
      </c>
      <c r="F5288">
        <v>0</v>
      </c>
      <c r="G5288">
        <v>0</v>
      </c>
      <c r="H5288">
        <v>103</v>
      </c>
      <c r="I5288" s="183" t="s">
        <v>1372</v>
      </c>
      <c r="J5288" s="183" t="s">
        <v>12091</v>
      </c>
      <c r="K5288">
        <v>0</v>
      </c>
      <c r="L5288">
        <v>103</v>
      </c>
    </row>
    <row r="5289" spans="1:12">
      <c r="A5289" s="183" t="s">
        <v>1699</v>
      </c>
      <c r="B5289" s="183" t="s">
        <v>1371</v>
      </c>
      <c r="C5289">
        <v>17120226</v>
      </c>
      <c r="D5289">
        <v>155</v>
      </c>
      <c r="E5289">
        <v>0</v>
      </c>
      <c r="F5289">
        <v>0</v>
      </c>
      <c r="G5289">
        <v>0</v>
      </c>
      <c r="H5289">
        <v>155</v>
      </c>
      <c r="I5289" s="183" t="s">
        <v>1372</v>
      </c>
      <c r="J5289" s="183" t="s">
        <v>12066</v>
      </c>
      <c r="K5289">
        <v>0</v>
      </c>
      <c r="L5289">
        <v>155</v>
      </c>
    </row>
    <row r="5290" spans="1:12">
      <c r="A5290" s="183" t="s">
        <v>1887</v>
      </c>
      <c r="B5290" s="183" t="s">
        <v>1550</v>
      </c>
      <c r="C5290">
        <v>17130204</v>
      </c>
      <c r="D5290">
        <v>128</v>
      </c>
      <c r="E5290">
        <v>0</v>
      </c>
      <c r="F5290">
        <v>0</v>
      </c>
      <c r="G5290">
        <v>0</v>
      </c>
      <c r="H5290">
        <v>128</v>
      </c>
      <c r="I5290" s="183" t="s">
        <v>1551</v>
      </c>
      <c r="J5290" s="183" t="s">
        <v>12087</v>
      </c>
      <c r="K5290">
        <v>0</v>
      </c>
      <c r="L5290">
        <v>128</v>
      </c>
    </row>
    <row r="5291" spans="1:12">
      <c r="A5291" s="183" t="s">
        <v>1549</v>
      </c>
      <c r="B5291" s="183" t="s">
        <v>1550</v>
      </c>
      <c r="C5291">
        <v>17130208</v>
      </c>
      <c r="D5291">
        <v>86</v>
      </c>
      <c r="E5291">
        <v>0</v>
      </c>
      <c r="F5291">
        <v>0</v>
      </c>
      <c r="G5291">
        <v>0</v>
      </c>
      <c r="H5291">
        <v>86</v>
      </c>
      <c r="I5291" s="183" t="s">
        <v>1551</v>
      </c>
      <c r="J5291" s="183" t="s">
        <v>12095</v>
      </c>
      <c r="K5291">
        <v>0</v>
      </c>
      <c r="L5291">
        <v>86</v>
      </c>
    </row>
    <row r="5292" spans="1:12">
      <c r="A5292" s="183" t="s">
        <v>1700</v>
      </c>
      <c r="B5292" s="183" t="s">
        <v>1550</v>
      </c>
      <c r="C5292">
        <v>17130218</v>
      </c>
      <c r="D5292">
        <v>141</v>
      </c>
      <c r="E5292">
        <v>0</v>
      </c>
      <c r="F5292">
        <v>0</v>
      </c>
      <c r="G5292">
        <v>0</v>
      </c>
      <c r="H5292">
        <v>141</v>
      </c>
      <c r="I5292" s="183" t="s">
        <v>1551</v>
      </c>
      <c r="J5292" s="183" t="s">
        <v>12081</v>
      </c>
      <c r="K5292">
        <v>0</v>
      </c>
      <c r="L5292">
        <v>141</v>
      </c>
    </row>
    <row r="5293" spans="1:12">
      <c r="A5293" s="183" t="s">
        <v>2034</v>
      </c>
      <c r="B5293" s="183" t="s">
        <v>1411</v>
      </c>
      <c r="C5293">
        <v>17140210</v>
      </c>
      <c r="D5293">
        <v>41</v>
      </c>
      <c r="E5293">
        <v>0</v>
      </c>
      <c r="F5293">
        <v>0</v>
      </c>
      <c r="G5293">
        <v>0</v>
      </c>
      <c r="H5293">
        <v>41</v>
      </c>
      <c r="I5293" s="183" t="s">
        <v>1412</v>
      </c>
      <c r="J5293" s="183" t="s">
        <v>12093</v>
      </c>
      <c r="K5293">
        <v>0</v>
      </c>
      <c r="L5293">
        <v>41</v>
      </c>
    </row>
    <row r="5294" spans="1:12">
      <c r="A5294" s="183" t="s">
        <v>2334</v>
      </c>
      <c r="B5294" s="183" t="s">
        <v>1411</v>
      </c>
      <c r="C5294">
        <v>17140217</v>
      </c>
      <c r="D5294">
        <v>108</v>
      </c>
      <c r="E5294">
        <v>0</v>
      </c>
      <c r="F5294">
        <v>0</v>
      </c>
      <c r="G5294">
        <v>0</v>
      </c>
      <c r="H5294">
        <v>108</v>
      </c>
      <c r="I5294" s="183" t="s">
        <v>1412</v>
      </c>
      <c r="J5294" s="183" t="s">
        <v>12087</v>
      </c>
      <c r="K5294">
        <v>0</v>
      </c>
      <c r="L5294">
        <v>108</v>
      </c>
    </row>
    <row r="5295" spans="1:12">
      <c r="A5295" s="183" t="s">
        <v>1899</v>
      </c>
      <c r="B5295" s="183" t="s">
        <v>1411</v>
      </c>
      <c r="C5295">
        <v>17140219</v>
      </c>
      <c r="D5295">
        <v>136</v>
      </c>
      <c r="E5295">
        <v>0</v>
      </c>
      <c r="F5295">
        <v>0</v>
      </c>
      <c r="G5295">
        <v>0</v>
      </c>
      <c r="H5295">
        <v>136</v>
      </c>
      <c r="I5295" s="183" t="s">
        <v>1412</v>
      </c>
      <c r="J5295" s="183" t="s">
        <v>12094</v>
      </c>
      <c r="K5295">
        <v>0</v>
      </c>
      <c r="L5295">
        <v>136</v>
      </c>
    </row>
    <row r="5296" spans="1:12">
      <c r="A5296" s="183" t="s">
        <v>1546</v>
      </c>
      <c r="B5296" s="183" t="s">
        <v>1411</v>
      </c>
      <c r="C5296">
        <v>17140228</v>
      </c>
      <c r="D5296">
        <v>237</v>
      </c>
      <c r="E5296">
        <v>0</v>
      </c>
      <c r="F5296">
        <v>0</v>
      </c>
      <c r="G5296">
        <v>0</v>
      </c>
      <c r="H5296">
        <v>237</v>
      </c>
      <c r="I5296" s="183" t="s">
        <v>1412</v>
      </c>
      <c r="J5296" s="183" t="s">
        <v>12094</v>
      </c>
      <c r="K5296">
        <v>0</v>
      </c>
      <c r="L5296">
        <v>237</v>
      </c>
    </row>
    <row r="5311" spans="1:12">
      <c r="A5311" s="183" t="s">
        <v>11341</v>
      </c>
      <c r="L5311">
        <v>-10</v>
      </c>
    </row>
    <row r="5312" spans="1:12">
      <c r="A5312" s="183" t="s">
        <v>11342</v>
      </c>
      <c r="L5312">
        <v>-10</v>
      </c>
    </row>
    <row r="5313" spans="1:12">
      <c r="A5313" s="183" t="s">
        <v>11342</v>
      </c>
      <c r="L5313">
        <v>-10</v>
      </c>
    </row>
    <row r="5314" spans="1:12">
      <c r="A5314" s="183" t="s">
        <v>11343</v>
      </c>
      <c r="L5314">
        <v>-10</v>
      </c>
    </row>
    <row r="5315" spans="1:12">
      <c r="A5315" s="183" t="s">
        <v>11343</v>
      </c>
      <c r="L5315">
        <v>-10</v>
      </c>
    </row>
    <row r="5316" spans="1:12">
      <c r="A5316" s="183" t="s">
        <v>11344</v>
      </c>
      <c r="L5316">
        <v>-10</v>
      </c>
    </row>
    <row r="5317" spans="1:12">
      <c r="A5317" s="183" t="s">
        <v>11344</v>
      </c>
      <c r="L5317">
        <v>-10</v>
      </c>
    </row>
    <row r="5318" spans="1:12">
      <c r="A5318" s="183" t="s">
        <v>11345</v>
      </c>
      <c r="L5318">
        <v>-10</v>
      </c>
    </row>
    <row r="5319" spans="1:12">
      <c r="A5319" s="183" t="s">
        <v>11345</v>
      </c>
      <c r="L5319">
        <v>-10</v>
      </c>
    </row>
    <row r="5320" spans="1:12">
      <c r="A5320" s="183" t="s">
        <v>11346</v>
      </c>
      <c r="L5320">
        <v>-10</v>
      </c>
    </row>
    <row r="5321" spans="1:12">
      <c r="A5321" s="183" t="s">
        <v>11346</v>
      </c>
      <c r="L5321">
        <v>-10</v>
      </c>
    </row>
    <row r="5322" spans="1:12">
      <c r="A5322" s="183" t="s">
        <v>11347</v>
      </c>
      <c r="L5322">
        <v>-5</v>
      </c>
    </row>
    <row r="5323" spans="1:12">
      <c r="A5323" s="183" t="s">
        <v>11347</v>
      </c>
      <c r="L5323">
        <v>-10</v>
      </c>
    </row>
    <row r="5324" spans="1:12">
      <c r="A5324" s="183" t="s">
        <v>11348</v>
      </c>
      <c r="L5324">
        <v>-5</v>
      </c>
    </row>
    <row r="5325" spans="1:12">
      <c r="A5325" s="183" t="s">
        <v>11348</v>
      </c>
      <c r="L5325">
        <v>-10</v>
      </c>
    </row>
    <row r="5326" spans="1:12">
      <c r="A5326" s="183" t="s">
        <v>11349</v>
      </c>
      <c r="L5326">
        <v>-5</v>
      </c>
    </row>
    <row r="5327" spans="1:12">
      <c r="A5327" s="183" t="s">
        <v>11349</v>
      </c>
      <c r="L5327">
        <v>-10</v>
      </c>
    </row>
    <row r="5328" spans="1:12">
      <c r="A5328" s="183" t="s">
        <v>11350</v>
      </c>
      <c r="L5328">
        <v>-5</v>
      </c>
    </row>
    <row r="5329" spans="1:12">
      <c r="A5329" s="183" t="s">
        <v>11350</v>
      </c>
      <c r="L5329">
        <v>-5</v>
      </c>
    </row>
    <row r="5330" spans="1:12">
      <c r="A5330" s="183" t="s">
        <v>11351</v>
      </c>
      <c r="L5330">
        <v>-5</v>
      </c>
    </row>
    <row r="5331" spans="1:12">
      <c r="A5331" s="183" t="s">
        <v>11351</v>
      </c>
      <c r="L5331">
        <v>-3</v>
      </c>
    </row>
    <row r="5332" spans="1:12">
      <c r="A5332" s="183" t="s">
        <v>11352</v>
      </c>
      <c r="L5332">
        <v>-5</v>
      </c>
    </row>
    <row r="5333" spans="1:12">
      <c r="A5333" s="183" t="s">
        <v>11353</v>
      </c>
      <c r="L5333">
        <v>-5</v>
      </c>
    </row>
    <row r="5334" spans="1:12">
      <c r="A5334" s="183" t="s">
        <v>11354</v>
      </c>
      <c r="L5334">
        <v>-5</v>
      </c>
    </row>
    <row r="5335" spans="1:12">
      <c r="A5335" s="183" t="s">
        <v>11355</v>
      </c>
      <c r="L5335">
        <v>-5</v>
      </c>
    </row>
    <row r="5336" spans="1:12">
      <c r="A5336" s="183" t="s">
        <v>11356</v>
      </c>
      <c r="L5336">
        <v>-5</v>
      </c>
    </row>
    <row r="5337" spans="1:12">
      <c r="A5337" s="183" t="s">
        <v>11357</v>
      </c>
      <c r="L5337">
        <v>-5</v>
      </c>
    </row>
    <row r="5338" spans="1:12">
      <c r="A5338" s="183" t="s">
        <v>11358</v>
      </c>
      <c r="L5338">
        <v>-5</v>
      </c>
    </row>
    <row r="5339" spans="1:12">
      <c r="A5339" s="183" t="s">
        <v>11359</v>
      </c>
      <c r="L5339">
        <v>-40</v>
      </c>
    </row>
    <row r="5340" spans="1:12">
      <c r="A5340" s="183" t="s">
        <v>11359</v>
      </c>
      <c r="L5340">
        <v>-10</v>
      </c>
    </row>
    <row r="5341" spans="1:12">
      <c r="A5341" s="183" t="s">
        <v>11360</v>
      </c>
      <c r="L5341">
        <v>-10</v>
      </c>
    </row>
    <row r="5342" spans="1:12">
      <c r="A5342" s="183" t="s">
        <v>11360</v>
      </c>
      <c r="L5342">
        <v>-5</v>
      </c>
    </row>
    <row r="5343" spans="1:12">
      <c r="A5343" s="183" t="s">
        <v>11361</v>
      </c>
      <c r="L5343">
        <v>-10</v>
      </c>
    </row>
    <row r="5344" spans="1:12">
      <c r="A5344" s="183" t="s">
        <v>11361</v>
      </c>
      <c r="L5344">
        <v>-5</v>
      </c>
    </row>
    <row r="5345" spans="1:12">
      <c r="A5345" s="183" t="s">
        <v>11362</v>
      </c>
      <c r="L5345">
        <v>-10</v>
      </c>
    </row>
    <row r="5346" spans="1:12">
      <c r="A5346" s="183" t="s">
        <v>11362</v>
      </c>
      <c r="L5346">
        <v>-10</v>
      </c>
    </row>
    <row r="5347" spans="1:12">
      <c r="A5347" s="183" t="s">
        <v>11363</v>
      </c>
      <c r="L5347">
        <v>-10</v>
      </c>
    </row>
    <row r="5348" spans="1:12">
      <c r="A5348" s="183" t="s">
        <v>11363</v>
      </c>
      <c r="L5348">
        <v>-10</v>
      </c>
    </row>
    <row r="5349" spans="1:12">
      <c r="A5349" s="183" t="s">
        <v>11364</v>
      </c>
      <c r="L5349">
        <v>-10</v>
      </c>
    </row>
    <row r="5350" spans="1:12">
      <c r="A5350" s="183" t="s">
        <v>11364</v>
      </c>
      <c r="L5350">
        <v>-10</v>
      </c>
    </row>
    <row r="5351" spans="1:12">
      <c r="A5351" s="183" t="s">
        <v>11365</v>
      </c>
      <c r="L5351">
        <v>-20</v>
      </c>
    </row>
    <row r="5352" spans="1:12">
      <c r="A5352" s="183" t="s">
        <v>11365</v>
      </c>
      <c r="L5352">
        <v>-10</v>
      </c>
    </row>
    <row r="5353" spans="1:12">
      <c r="A5353" s="183" t="s">
        <v>11366</v>
      </c>
      <c r="L5353">
        <v>-20</v>
      </c>
    </row>
    <row r="5354" spans="1:12">
      <c r="A5354" s="183" t="s">
        <v>11366</v>
      </c>
      <c r="L5354">
        <v>-10</v>
      </c>
    </row>
    <row r="5355" spans="1:12">
      <c r="A5355" s="183" t="s">
        <v>11367</v>
      </c>
      <c r="L5355">
        <v>-20</v>
      </c>
    </row>
    <row r="5356" spans="1:12">
      <c r="A5356" s="183" t="s">
        <v>11367</v>
      </c>
      <c r="L5356">
        <v>-10</v>
      </c>
    </row>
    <row r="5357" spans="1:12">
      <c r="A5357" s="183" t="s">
        <v>11368</v>
      </c>
      <c r="L5357">
        <v>-20</v>
      </c>
    </row>
    <row r="5358" spans="1:12">
      <c r="A5358" s="183" t="s">
        <v>11368</v>
      </c>
      <c r="L5358">
        <v>-10</v>
      </c>
    </row>
    <row r="5359" spans="1:12">
      <c r="A5359" s="183" t="s">
        <v>11369</v>
      </c>
      <c r="L5359">
        <v>-20</v>
      </c>
    </row>
    <row r="5360" spans="1:12">
      <c r="A5360" s="183" t="s">
        <v>11369</v>
      </c>
      <c r="L5360">
        <v>-5</v>
      </c>
    </row>
    <row r="5361" spans="1:12">
      <c r="A5361" s="183" t="s">
        <v>11370</v>
      </c>
      <c r="L5361">
        <v>-20</v>
      </c>
    </row>
    <row r="5362" spans="1:12">
      <c r="A5362" s="183" t="s">
        <v>11370</v>
      </c>
      <c r="L5362">
        <v>-5</v>
      </c>
    </row>
    <row r="5363" spans="1:12">
      <c r="A5363" s="183" t="s">
        <v>11371</v>
      </c>
      <c r="L5363">
        <v>-20</v>
      </c>
    </row>
    <row r="5364" spans="1:12">
      <c r="A5364" s="183" t="s">
        <v>11371</v>
      </c>
      <c r="L5364">
        <v>-10</v>
      </c>
    </row>
    <row r="5365" spans="1:12">
      <c r="A5365" s="183" t="s">
        <v>11372</v>
      </c>
      <c r="L5365">
        <v>-20</v>
      </c>
    </row>
    <row r="5366" spans="1:12">
      <c r="A5366" s="183" t="s">
        <v>11372</v>
      </c>
      <c r="L5366">
        <v>-10</v>
      </c>
    </row>
    <row r="5367" spans="1:12">
      <c r="A5367" s="183" t="s">
        <v>11373</v>
      </c>
      <c r="L5367">
        <v>-20</v>
      </c>
    </row>
    <row r="5368" spans="1:12">
      <c r="A5368" s="183" t="s">
        <v>11373</v>
      </c>
      <c r="L5368">
        <v>-10</v>
      </c>
    </row>
    <row r="5369" spans="1:12">
      <c r="A5369" s="183" t="s">
        <v>11374</v>
      </c>
      <c r="L5369">
        <v>-30</v>
      </c>
    </row>
    <row r="5370" spans="1:12">
      <c r="A5370" s="183" t="s">
        <v>11374</v>
      </c>
      <c r="L5370">
        <v>-10</v>
      </c>
    </row>
    <row r="5371" spans="1:12">
      <c r="A5371" s="183" t="s">
        <v>11375</v>
      </c>
      <c r="L5371">
        <v>-30</v>
      </c>
    </row>
    <row r="5372" spans="1:12">
      <c r="A5372" s="183" t="s">
        <v>11375</v>
      </c>
      <c r="L5372">
        <v>-10</v>
      </c>
    </row>
    <row r="5373" spans="1:12">
      <c r="A5373" s="183" t="s">
        <v>11376</v>
      </c>
      <c r="L5373">
        <v>-30</v>
      </c>
    </row>
    <row r="5374" spans="1:12">
      <c r="A5374" s="183" t="s">
        <v>11376</v>
      </c>
      <c r="L5374">
        <v>-10</v>
      </c>
    </row>
    <row r="5375" spans="1:12">
      <c r="A5375" s="183" t="s">
        <v>11377</v>
      </c>
      <c r="L5375">
        <v>-20</v>
      </c>
    </row>
    <row r="5376" spans="1:12">
      <c r="A5376" s="183" t="s">
        <v>11378</v>
      </c>
      <c r="L5376">
        <v>-20</v>
      </c>
    </row>
    <row r="5377" spans="1:12">
      <c r="A5377" s="183" t="s">
        <v>11378</v>
      </c>
      <c r="L5377">
        <v>-10</v>
      </c>
    </row>
    <row r="5378" spans="1:12">
      <c r="A5378" s="183" t="s">
        <v>11379</v>
      </c>
      <c r="L5378">
        <v>-20</v>
      </c>
    </row>
    <row r="5379" spans="1:12">
      <c r="A5379" s="183" t="s">
        <v>11380</v>
      </c>
      <c r="L5379">
        <v>-20</v>
      </c>
    </row>
    <row r="5380" spans="1:12">
      <c r="A5380" s="183" t="s">
        <v>11380</v>
      </c>
      <c r="L5380">
        <v>-10</v>
      </c>
    </row>
    <row r="5381" spans="1:12">
      <c r="A5381" s="183" t="s">
        <v>11381</v>
      </c>
      <c r="L5381">
        <v>-20</v>
      </c>
    </row>
    <row r="5382" spans="1:12">
      <c r="A5382" s="183" t="s">
        <v>11381</v>
      </c>
      <c r="L5382">
        <v>-10</v>
      </c>
    </row>
    <row r="5383" spans="1:12">
      <c r="A5383" s="183" t="s">
        <v>11382</v>
      </c>
      <c r="L5383">
        <v>-20</v>
      </c>
    </row>
    <row r="5384" spans="1:12">
      <c r="A5384" s="183" t="s">
        <v>11382</v>
      </c>
      <c r="L5384">
        <v>-10</v>
      </c>
    </row>
    <row r="5385" spans="1:12">
      <c r="A5385" s="183" t="s">
        <v>11383</v>
      </c>
      <c r="L5385">
        <v>-10</v>
      </c>
    </row>
    <row r="5386" spans="1:12">
      <c r="A5386" s="183" t="s">
        <v>11383</v>
      </c>
      <c r="L5386">
        <v>-10</v>
      </c>
    </row>
    <row r="5387" spans="1:12">
      <c r="A5387" s="183" t="s">
        <v>11384</v>
      </c>
      <c r="L5387">
        <v>-10</v>
      </c>
    </row>
    <row r="5388" spans="1:12">
      <c r="A5388" s="183" t="s">
        <v>11384</v>
      </c>
      <c r="L5388">
        <v>-10</v>
      </c>
    </row>
    <row r="5389" spans="1:12">
      <c r="A5389" s="183" t="s">
        <v>11385</v>
      </c>
      <c r="L5389">
        <v>-10</v>
      </c>
    </row>
    <row r="5390" spans="1:12">
      <c r="A5390" s="183" t="s">
        <v>11386</v>
      </c>
      <c r="L5390">
        <v>-10</v>
      </c>
    </row>
    <row r="5391" spans="1:12">
      <c r="A5391" s="183" t="s">
        <v>11387</v>
      </c>
      <c r="L5391">
        <v>-10</v>
      </c>
    </row>
    <row r="5392" spans="1:12">
      <c r="A5392" s="183" t="s">
        <v>11388</v>
      </c>
      <c r="L5392">
        <v>-10</v>
      </c>
    </row>
    <row r="5393" spans="1:12">
      <c r="A5393" s="183" t="s">
        <v>11389</v>
      </c>
      <c r="L5393">
        <v>-10</v>
      </c>
    </row>
    <row r="5394" spans="1:12">
      <c r="A5394" s="183" t="s">
        <v>11390</v>
      </c>
      <c r="L5394">
        <v>-10</v>
      </c>
    </row>
    <row r="5395" spans="1:12">
      <c r="A5395" s="183" t="s">
        <v>11391</v>
      </c>
      <c r="L5395">
        <v>-20</v>
      </c>
    </row>
    <row r="5396" spans="1:12">
      <c r="A5396" s="183" t="s">
        <v>11391</v>
      </c>
      <c r="L5396">
        <v>-10</v>
      </c>
    </row>
    <row r="5397" spans="1:12">
      <c r="A5397" s="183" t="s">
        <v>11392</v>
      </c>
      <c r="L5397">
        <v>-10</v>
      </c>
    </row>
    <row r="5398" spans="1:12">
      <c r="A5398" s="183" t="s">
        <v>11392</v>
      </c>
      <c r="L5398">
        <v>-5</v>
      </c>
    </row>
    <row r="5399" spans="1:12">
      <c r="A5399" s="183" t="s">
        <v>11393</v>
      </c>
      <c r="L5399">
        <v>-10</v>
      </c>
    </row>
    <row r="5400" spans="1:12">
      <c r="A5400" s="183" t="s">
        <v>11393</v>
      </c>
      <c r="L5400">
        <v>-5</v>
      </c>
    </row>
    <row r="5401" spans="1:12">
      <c r="A5401" s="183" t="s">
        <v>11394</v>
      </c>
      <c r="L5401">
        <v>-10</v>
      </c>
    </row>
    <row r="5402" spans="1:12">
      <c r="A5402" s="183" t="s">
        <v>11394</v>
      </c>
      <c r="L5402">
        <v>-5</v>
      </c>
    </row>
    <row r="5403" spans="1:12">
      <c r="A5403" s="183" t="s">
        <v>11395</v>
      </c>
      <c r="L5403">
        <v>-10</v>
      </c>
    </row>
    <row r="5404" spans="1:12">
      <c r="A5404" s="183" t="s">
        <v>11395</v>
      </c>
      <c r="L5404">
        <v>-5</v>
      </c>
    </row>
    <row r="5405" spans="1:12">
      <c r="A5405" s="183" t="s">
        <v>11396</v>
      </c>
      <c r="L5405">
        <v>-10</v>
      </c>
    </row>
    <row r="5406" spans="1:12">
      <c r="A5406" s="183" t="s">
        <v>11396</v>
      </c>
      <c r="L5406">
        <v>-5</v>
      </c>
    </row>
    <row r="5407" spans="1:12">
      <c r="A5407" s="183" t="s">
        <v>11397</v>
      </c>
      <c r="L5407">
        <v>-10</v>
      </c>
    </row>
    <row r="5408" spans="1:12">
      <c r="A5408" s="183" t="s">
        <v>11397</v>
      </c>
      <c r="L5408">
        <v>-5</v>
      </c>
    </row>
    <row r="5409" spans="1:12">
      <c r="A5409" s="183" t="s">
        <v>11398</v>
      </c>
      <c r="L5409">
        <v>-10</v>
      </c>
    </row>
    <row r="5410" spans="1:12">
      <c r="A5410" s="183" t="s">
        <v>11398</v>
      </c>
      <c r="L5410">
        <v>-5</v>
      </c>
    </row>
    <row r="5411" spans="1:12">
      <c r="A5411" s="183" t="s">
        <v>11399</v>
      </c>
      <c r="L5411">
        <v>-10</v>
      </c>
    </row>
    <row r="5412" spans="1:12">
      <c r="A5412" s="183" t="s">
        <v>11399</v>
      </c>
      <c r="L5412">
        <v>-10</v>
      </c>
    </row>
    <row r="5413" spans="1:12">
      <c r="A5413" s="183" t="s">
        <v>11400</v>
      </c>
      <c r="L5413">
        <v>-10</v>
      </c>
    </row>
    <row r="5414" spans="1:12">
      <c r="A5414" s="183" t="s">
        <v>11400</v>
      </c>
      <c r="L5414">
        <v>-10</v>
      </c>
    </row>
    <row r="5415" spans="1:12">
      <c r="A5415" s="183" t="s">
        <v>11401</v>
      </c>
      <c r="L5415">
        <v>-10</v>
      </c>
    </row>
    <row r="5416" spans="1:12">
      <c r="A5416" s="183" t="s">
        <v>11401</v>
      </c>
      <c r="L5416">
        <v>-10</v>
      </c>
    </row>
    <row r="5417" spans="1:12">
      <c r="A5417" s="183" t="s">
        <v>11402</v>
      </c>
      <c r="L5417">
        <v>-10</v>
      </c>
    </row>
    <row r="5418" spans="1:12">
      <c r="A5418" s="183" t="s">
        <v>11402</v>
      </c>
      <c r="L5418">
        <v>-10</v>
      </c>
    </row>
    <row r="5419" spans="1:12">
      <c r="A5419" s="183" t="s">
        <v>11403</v>
      </c>
      <c r="L5419">
        <v>-10</v>
      </c>
    </row>
    <row r="5420" spans="1:12">
      <c r="A5420" s="183" t="s">
        <v>11403</v>
      </c>
      <c r="L5420">
        <v>-10</v>
      </c>
    </row>
    <row r="5421" spans="1:12">
      <c r="A5421" s="183" t="s">
        <v>11404</v>
      </c>
      <c r="L5421">
        <v>-10</v>
      </c>
    </row>
    <row r="5422" spans="1:12">
      <c r="A5422" s="183" t="s">
        <v>11404</v>
      </c>
      <c r="L5422">
        <v>-10</v>
      </c>
    </row>
    <row r="5423" spans="1:12">
      <c r="A5423" s="183" t="s">
        <v>11341</v>
      </c>
      <c r="L5423">
        <v>-10</v>
      </c>
    </row>
    <row r="5424" spans="1:12">
      <c r="A5424" s="183" t="s">
        <v>11405</v>
      </c>
      <c r="L5424">
        <v>-40</v>
      </c>
    </row>
    <row r="5425" spans="1:12">
      <c r="A5425" s="183" t="s">
        <v>11405</v>
      </c>
      <c r="L5425">
        <v>-10</v>
      </c>
    </row>
    <row r="5426" spans="1:12">
      <c r="A5426" s="183" t="s">
        <v>11406</v>
      </c>
      <c r="L5426">
        <v>-20</v>
      </c>
    </row>
    <row r="5427" spans="1:12">
      <c r="A5427" s="183" t="s">
        <v>11406</v>
      </c>
      <c r="L5427">
        <v>-10</v>
      </c>
    </row>
    <row r="5428" spans="1:12">
      <c r="A5428" s="183" t="s">
        <v>11407</v>
      </c>
      <c r="L5428">
        <v>-20</v>
      </c>
    </row>
    <row r="5429" spans="1:12">
      <c r="A5429" s="183" t="s">
        <v>11407</v>
      </c>
      <c r="L5429">
        <v>-10</v>
      </c>
    </row>
    <row r="5430" spans="1:12">
      <c r="A5430" s="183" t="s">
        <v>11408</v>
      </c>
      <c r="L5430">
        <v>-20</v>
      </c>
    </row>
    <row r="5431" spans="1:12">
      <c r="A5431" s="183" t="s">
        <v>11408</v>
      </c>
      <c r="L5431">
        <v>-10</v>
      </c>
    </row>
    <row r="5432" spans="1:12">
      <c r="A5432" s="183" t="s">
        <v>11409</v>
      </c>
      <c r="L5432">
        <v>-20</v>
      </c>
    </row>
    <row r="5433" spans="1:12">
      <c r="A5433" s="183" t="s">
        <v>11409</v>
      </c>
      <c r="L5433">
        <v>-10</v>
      </c>
    </row>
    <row r="5434" spans="1:12">
      <c r="A5434" s="183" t="s">
        <v>11410</v>
      </c>
      <c r="L5434">
        <v>-20</v>
      </c>
    </row>
    <row r="5435" spans="1:12">
      <c r="A5435" s="183" t="s">
        <v>11410</v>
      </c>
      <c r="L5435">
        <v>-10</v>
      </c>
    </row>
    <row r="5436" spans="1:12">
      <c r="A5436" s="183" t="s">
        <v>11411</v>
      </c>
      <c r="L5436">
        <v>-20</v>
      </c>
    </row>
    <row r="5437" spans="1:12">
      <c r="A5437" s="183" t="s">
        <v>11411</v>
      </c>
      <c r="L5437">
        <v>-10</v>
      </c>
    </row>
    <row r="5438" spans="1:12">
      <c r="A5438" s="183" t="s">
        <v>11412</v>
      </c>
      <c r="L5438">
        <v>-40</v>
      </c>
    </row>
    <row r="5439" spans="1:12">
      <c r="A5439" s="183" t="s">
        <v>11412</v>
      </c>
      <c r="L5439">
        <v>-10</v>
      </c>
    </row>
    <row r="5440" spans="1:12">
      <c r="A5440" s="183" t="s">
        <v>11413</v>
      </c>
      <c r="L5440">
        <v>-40</v>
      </c>
    </row>
    <row r="5441" spans="1:12">
      <c r="A5441" s="183" t="s">
        <v>11413</v>
      </c>
      <c r="L5441">
        <v>-10</v>
      </c>
    </row>
    <row r="5442" spans="1:12">
      <c r="A5442" s="183" t="s">
        <v>11414</v>
      </c>
      <c r="L5442">
        <v>-20</v>
      </c>
    </row>
    <row r="5443" spans="1:12">
      <c r="A5443" s="183" t="s">
        <v>11414</v>
      </c>
      <c r="L5443">
        <v>-10</v>
      </c>
    </row>
    <row r="5444" spans="1:12">
      <c r="A5444" s="183" t="s">
        <v>11415</v>
      </c>
      <c r="L5444">
        <v>-20</v>
      </c>
    </row>
    <row r="5445" spans="1:12">
      <c r="A5445" s="183" t="s">
        <v>11415</v>
      </c>
      <c r="L5445">
        <v>-10</v>
      </c>
    </row>
    <row r="5446" spans="1:12">
      <c r="A5446" s="183" t="s">
        <v>11416</v>
      </c>
      <c r="L5446">
        <v>-20</v>
      </c>
    </row>
    <row r="5447" spans="1:12">
      <c r="A5447" s="183" t="s">
        <v>11416</v>
      </c>
      <c r="L5447">
        <v>-10</v>
      </c>
    </row>
    <row r="5448" spans="1:12">
      <c r="A5448" s="183" t="s">
        <v>11417</v>
      </c>
      <c r="L5448">
        <v>-20</v>
      </c>
    </row>
    <row r="5449" spans="1:12">
      <c r="A5449" s="183" t="s">
        <v>11417</v>
      </c>
      <c r="L5449">
        <v>-10</v>
      </c>
    </row>
    <row r="5450" spans="1:12">
      <c r="A5450" s="183" t="s">
        <v>11418</v>
      </c>
      <c r="L5450">
        <v>-20</v>
      </c>
    </row>
    <row r="5451" spans="1:12">
      <c r="A5451" s="183" t="s">
        <v>11418</v>
      </c>
      <c r="L5451">
        <v>-10</v>
      </c>
    </row>
    <row r="5452" spans="1:12">
      <c r="A5452" s="183" t="s">
        <v>11419</v>
      </c>
      <c r="L5452">
        <v>-20</v>
      </c>
    </row>
    <row r="5453" spans="1:12">
      <c r="A5453" s="183" t="s">
        <v>11419</v>
      </c>
      <c r="L5453">
        <v>-10</v>
      </c>
    </row>
    <row r="5454" spans="1:12">
      <c r="A5454" s="183" t="s">
        <v>11420</v>
      </c>
      <c r="L5454">
        <v>-20</v>
      </c>
    </row>
    <row r="5455" spans="1:12">
      <c r="A5455" s="183" t="s">
        <v>11420</v>
      </c>
      <c r="L5455">
        <v>-10</v>
      </c>
    </row>
    <row r="5456" spans="1:12">
      <c r="A5456" s="183" t="s">
        <v>11421</v>
      </c>
      <c r="L5456">
        <v>-20</v>
      </c>
    </row>
    <row r="5457" spans="1:12">
      <c r="A5457" s="183" t="s">
        <v>11421</v>
      </c>
      <c r="L5457">
        <v>-10</v>
      </c>
    </row>
    <row r="5458" spans="1:12">
      <c r="A5458" s="183" t="s">
        <v>11422</v>
      </c>
      <c r="L5458">
        <v>-20</v>
      </c>
    </row>
    <row r="5459" spans="1:12">
      <c r="A5459" s="183" t="s">
        <v>11422</v>
      </c>
      <c r="L5459">
        <v>-10</v>
      </c>
    </row>
    <row r="5460" spans="1:12">
      <c r="A5460" s="183" t="s">
        <v>11423</v>
      </c>
      <c r="L5460">
        <v>-20</v>
      </c>
    </row>
    <row r="5461" spans="1:12">
      <c r="A5461" s="183" t="s">
        <v>11423</v>
      </c>
      <c r="L5461">
        <v>-10</v>
      </c>
    </row>
    <row r="5462" spans="1:12">
      <c r="A5462" s="183" t="s">
        <v>11424</v>
      </c>
      <c r="L5462">
        <v>-20</v>
      </c>
    </row>
    <row r="5463" spans="1:12">
      <c r="A5463" s="183" t="s">
        <v>11424</v>
      </c>
      <c r="L5463">
        <v>-10</v>
      </c>
    </row>
    <row r="5464" spans="1:12">
      <c r="A5464" s="183" t="s">
        <v>11425</v>
      </c>
      <c r="L5464">
        <v>-20</v>
      </c>
    </row>
    <row r="5465" spans="1:12">
      <c r="A5465" s="183" t="s">
        <v>11425</v>
      </c>
      <c r="L5465">
        <v>-10</v>
      </c>
    </row>
    <row r="5466" spans="1:12">
      <c r="A5466" s="183" t="s">
        <v>11426</v>
      </c>
      <c r="L5466">
        <v>-20</v>
      </c>
    </row>
    <row r="5467" spans="1:12">
      <c r="A5467" s="183" t="s">
        <v>11426</v>
      </c>
      <c r="L5467">
        <v>-10</v>
      </c>
    </row>
    <row r="5468" spans="1:12">
      <c r="A5468" s="183" t="s">
        <v>11427</v>
      </c>
      <c r="L5468">
        <v>-20</v>
      </c>
    </row>
    <row r="5469" spans="1:12">
      <c r="A5469" s="183" t="s">
        <v>11427</v>
      </c>
      <c r="L5469">
        <v>-10</v>
      </c>
    </row>
    <row r="5470" spans="1:12">
      <c r="A5470" s="183" t="s">
        <v>11428</v>
      </c>
      <c r="L5470">
        <v>-20</v>
      </c>
    </row>
    <row r="5471" spans="1:12">
      <c r="A5471" s="183" t="s">
        <v>11428</v>
      </c>
      <c r="L5471">
        <v>-10</v>
      </c>
    </row>
    <row r="5472" spans="1:12">
      <c r="A5472" s="183" t="s">
        <v>11429</v>
      </c>
      <c r="L5472">
        <v>-20</v>
      </c>
    </row>
    <row r="5473" spans="1:12">
      <c r="A5473" s="183" t="s">
        <v>11429</v>
      </c>
      <c r="L5473">
        <v>-10</v>
      </c>
    </row>
    <row r="5474" spans="1:12">
      <c r="A5474" s="183" t="s">
        <v>11430</v>
      </c>
      <c r="L5474">
        <v>-20</v>
      </c>
    </row>
    <row r="5475" spans="1:12">
      <c r="A5475" s="183" t="s">
        <v>11430</v>
      </c>
      <c r="L5475">
        <v>-10</v>
      </c>
    </row>
    <row r="5476" spans="1:12">
      <c r="A5476" s="183" t="s">
        <v>11431</v>
      </c>
      <c r="L5476">
        <v>-20</v>
      </c>
    </row>
    <row r="5477" spans="1:12">
      <c r="A5477" s="183" t="s">
        <v>11431</v>
      </c>
      <c r="L5477">
        <v>-10</v>
      </c>
    </row>
    <row r="5478" spans="1:12">
      <c r="A5478" s="183" t="s">
        <v>11432</v>
      </c>
      <c r="L5478">
        <v>-15</v>
      </c>
    </row>
    <row r="5479" spans="1:12">
      <c r="A5479" s="183" t="s">
        <v>11433</v>
      </c>
      <c r="L5479">
        <v>-10</v>
      </c>
    </row>
    <row r="5480" spans="1:12">
      <c r="A5480" s="183" t="s">
        <v>11434</v>
      </c>
      <c r="L5480">
        <v>-10</v>
      </c>
    </row>
    <row r="5481" spans="1:12">
      <c r="A5481" s="183" t="s">
        <v>11435</v>
      </c>
      <c r="L5481">
        <v>-10</v>
      </c>
    </row>
    <row r="5482" spans="1:12">
      <c r="A5482" s="183" t="s">
        <v>11436</v>
      </c>
      <c r="L5482">
        <v>-10</v>
      </c>
    </row>
    <row r="5483" spans="1:12">
      <c r="A5483" s="183" t="s">
        <v>11437</v>
      </c>
      <c r="L5483">
        <v>-21</v>
      </c>
    </row>
    <row r="5484" spans="1:12">
      <c r="A5484" s="183" t="s">
        <v>11437</v>
      </c>
      <c r="L5484">
        <v>-10</v>
      </c>
    </row>
    <row r="5485" spans="1:12">
      <c r="A5485" s="183" t="s">
        <v>11438</v>
      </c>
      <c r="L5485">
        <v>-10</v>
      </c>
    </row>
    <row r="5486" spans="1:12">
      <c r="A5486" s="183" t="s">
        <v>11438</v>
      </c>
      <c r="L5486">
        <v>-5</v>
      </c>
    </row>
    <row r="5487" spans="1:12">
      <c r="A5487" s="183" t="s">
        <v>11439</v>
      </c>
      <c r="L5487">
        <v>-10</v>
      </c>
    </row>
    <row r="5488" spans="1:12">
      <c r="A5488" s="183" t="s">
        <v>11439</v>
      </c>
      <c r="L5488">
        <v>-5</v>
      </c>
    </row>
    <row r="5489" spans="1:12">
      <c r="A5489" s="183" t="s">
        <v>11440</v>
      </c>
      <c r="L5489">
        <v>-10</v>
      </c>
    </row>
    <row r="5490" spans="1:12">
      <c r="A5490" s="183" t="s">
        <v>11440</v>
      </c>
      <c r="L5490">
        <v>-10</v>
      </c>
    </row>
    <row r="5491" spans="1:12">
      <c r="A5491" s="183" t="s">
        <v>11441</v>
      </c>
      <c r="L5491">
        <v>-10</v>
      </c>
    </row>
    <row r="5492" spans="1:12">
      <c r="A5492" s="183" t="s">
        <v>11441</v>
      </c>
      <c r="L5492">
        <v>-10</v>
      </c>
    </row>
    <row r="5493" spans="1:12">
      <c r="A5493" s="183" t="s">
        <v>11442</v>
      </c>
      <c r="L5493">
        <v>-10</v>
      </c>
    </row>
    <row r="5494" spans="1:12">
      <c r="A5494" s="183" t="s">
        <v>11442</v>
      </c>
      <c r="L5494">
        <v>-10</v>
      </c>
    </row>
    <row r="5495" spans="1:12">
      <c r="A5495" s="183" t="s">
        <v>11443</v>
      </c>
      <c r="L5495">
        <v>-10</v>
      </c>
    </row>
    <row r="5496" spans="1:12">
      <c r="A5496" s="183" t="s">
        <v>11443</v>
      </c>
      <c r="L5496">
        <v>-10</v>
      </c>
    </row>
    <row r="5497" spans="1:12">
      <c r="A5497" s="183" t="s">
        <v>11444</v>
      </c>
      <c r="L5497">
        <v>-10</v>
      </c>
    </row>
    <row r="5498" spans="1:12">
      <c r="A5498" s="183" t="s">
        <v>11444</v>
      </c>
      <c r="L5498">
        <v>-10</v>
      </c>
    </row>
    <row r="5499" spans="1:12">
      <c r="A5499" s="183" t="s">
        <v>11445</v>
      </c>
      <c r="L5499">
        <v>-10</v>
      </c>
    </row>
    <row r="5500" spans="1:12">
      <c r="A5500" s="183" t="s">
        <v>11445</v>
      </c>
      <c r="L5500">
        <v>-10</v>
      </c>
    </row>
    <row r="5501" spans="1:12">
      <c r="A5501" s="183" t="s">
        <v>11446</v>
      </c>
      <c r="L5501">
        <v>-10</v>
      </c>
    </row>
    <row r="5502" spans="1:12">
      <c r="A5502" s="183" t="s">
        <v>11446</v>
      </c>
      <c r="L5502">
        <v>-10</v>
      </c>
    </row>
    <row r="5503" spans="1:12">
      <c r="A5503" s="183" t="s">
        <v>11447</v>
      </c>
      <c r="L5503">
        <v>-10</v>
      </c>
    </row>
    <row r="5504" spans="1:12">
      <c r="A5504" s="183" t="s">
        <v>11447</v>
      </c>
      <c r="L5504">
        <v>-1</v>
      </c>
    </row>
    <row r="5505" spans="1:12">
      <c r="A5505" s="183" t="s">
        <v>11448</v>
      </c>
      <c r="L5505">
        <v>-10</v>
      </c>
    </row>
    <row r="5506" spans="1:12">
      <c r="A5506" s="183" t="s">
        <v>11448</v>
      </c>
      <c r="L5506">
        <v>-5</v>
      </c>
    </row>
    <row r="5507" spans="1:12">
      <c r="A5507" s="183" t="s">
        <v>11449</v>
      </c>
      <c r="L5507">
        <v>-10</v>
      </c>
    </row>
    <row r="5508" spans="1:12">
      <c r="A5508" s="183" t="s">
        <v>11449</v>
      </c>
      <c r="L5508">
        <v>-1</v>
      </c>
    </row>
    <row r="5509" spans="1:12">
      <c r="A5509" s="183" t="s">
        <v>11450</v>
      </c>
      <c r="L5509">
        <v>-10</v>
      </c>
    </row>
    <row r="5510" spans="1:12">
      <c r="A5510" s="183" t="s">
        <v>11450</v>
      </c>
      <c r="L5510">
        <v>-5</v>
      </c>
    </row>
    <row r="5511" spans="1:12">
      <c r="A5511" s="183" t="s">
        <v>11451</v>
      </c>
      <c r="L5511">
        <v>-10</v>
      </c>
    </row>
    <row r="5512" spans="1:12">
      <c r="A5512" s="183" t="s">
        <v>11451</v>
      </c>
      <c r="L5512">
        <v>-5</v>
      </c>
    </row>
    <row r="5513" spans="1:12">
      <c r="A5513" s="183" t="s">
        <v>11452</v>
      </c>
      <c r="L5513">
        <v>-10</v>
      </c>
    </row>
    <row r="5514" spans="1:12">
      <c r="A5514" s="183" t="s">
        <v>11452</v>
      </c>
      <c r="L5514">
        <v>-10</v>
      </c>
    </row>
    <row r="5515" spans="1:12">
      <c r="A5515" s="183" t="s">
        <v>11453</v>
      </c>
      <c r="L5515">
        <v>-10</v>
      </c>
    </row>
    <row r="5516" spans="1:12">
      <c r="A5516" s="183" t="s">
        <v>11453</v>
      </c>
      <c r="L5516">
        <v>-10</v>
      </c>
    </row>
    <row r="5517" spans="1:12">
      <c r="A5517" s="183" t="s">
        <v>11454</v>
      </c>
      <c r="L5517">
        <v>-10</v>
      </c>
    </row>
    <row r="5518" spans="1:12">
      <c r="A5518" s="183" t="s">
        <v>11454</v>
      </c>
      <c r="L5518">
        <v>-10</v>
      </c>
    </row>
    <row r="5519" spans="1:12">
      <c r="A5519" s="183" t="s">
        <v>11455</v>
      </c>
      <c r="L5519">
        <v>-10</v>
      </c>
    </row>
    <row r="5520" spans="1:12">
      <c r="A5520" s="183" t="s">
        <v>11455</v>
      </c>
      <c r="L5520">
        <v>-10</v>
      </c>
    </row>
    <row r="5521" spans="1:12">
      <c r="A5521" s="183" t="s">
        <v>11456</v>
      </c>
      <c r="L5521">
        <v>-10</v>
      </c>
    </row>
    <row r="5522" spans="1:12">
      <c r="A5522" s="183" t="s">
        <v>11456</v>
      </c>
      <c r="L5522">
        <v>-10</v>
      </c>
    </row>
    <row r="5523" spans="1:12">
      <c r="A5523" s="183" t="s">
        <v>11457</v>
      </c>
      <c r="L5523">
        <v>-10</v>
      </c>
    </row>
    <row r="5524" spans="1:12">
      <c r="A5524" s="183" t="s">
        <v>11457</v>
      </c>
      <c r="L5524">
        <v>-10</v>
      </c>
    </row>
    <row r="5525" spans="1:12">
      <c r="A5525" s="183" t="s">
        <v>11458</v>
      </c>
      <c r="L5525">
        <v>-10</v>
      </c>
    </row>
    <row r="5526" spans="1:12">
      <c r="A5526" s="183" t="s">
        <v>11458</v>
      </c>
      <c r="L5526">
        <v>-10</v>
      </c>
    </row>
    <row r="5527" spans="1:12">
      <c r="A5527" s="183" t="s">
        <v>11459</v>
      </c>
      <c r="L5527">
        <v>-10</v>
      </c>
    </row>
    <row r="5528" spans="1:12">
      <c r="A5528" s="183" t="s">
        <v>11459</v>
      </c>
      <c r="L5528">
        <v>-10</v>
      </c>
    </row>
    <row r="5529" spans="1:12">
      <c r="A5529" s="183" t="s">
        <v>11460</v>
      </c>
      <c r="L5529">
        <v>-10</v>
      </c>
    </row>
    <row r="5530" spans="1:12">
      <c r="A5530" s="183" t="s">
        <v>11460</v>
      </c>
      <c r="L5530">
        <v>-5</v>
      </c>
    </row>
    <row r="5531" spans="1:12">
      <c r="A5531" s="183" t="s">
        <v>11461</v>
      </c>
      <c r="L5531">
        <v>-10</v>
      </c>
    </row>
    <row r="5532" spans="1:12">
      <c r="A5532" s="183" t="s">
        <v>11461</v>
      </c>
      <c r="L5532">
        <v>-5</v>
      </c>
    </row>
    <row r="5533" spans="1:12">
      <c r="A5533" s="183" t="s">
        <v>11462</v>
      </c>
      <c r="L5533">
        <v>-10</v>
      </c>
    </row>
    <row r="5534" spans="1:12">
      <c r="A5534" s="183" t="s">
        <v>11462</v>
      </c>
      <c r="L5534">
        <v>-5</v>
      </c>
    </row>
    <row r="5535" spans="1:12">
      <c r="A5535" s="183" t="s">
        <v>11463</v>
      </c>
      <c r="L5535">
        <v>-10</v>
      </c>
    </row>
    <row r="5536" spans="1:12">
      <c r="A5536" s="183" t="s">
        <v>11463</v>
      </c>
      <c r="L5536">
        <v>-5</v>
      </c>
    </row>
    <row r="5537" spans="1:12">
      <c r="A5537" s="183" t="s">
        <v>11464</v>
      </c>
      <c r="L5537">
        <v>-10</v>
      </c>
    </row>
    <row r="5538" spans="1:12">
      <c r="A5538" s="183" t="s">
        <v>11465</v>
      </c>
      <c r="L5538">
        <v>-10</v>
      </c>
    </row>
    <row r="5539" spans="1:12">
      <c r="A5539" s="183" t="s">
        <v>11466</v>
      </c>
      <c r="L5539">
        <v>-10</v>
      </c>
    </row>
    <row r="5540" spans="1:12">
      <c r="A5540" s="183" t="s">
        <v>11467</v>
      </c>
      <c r="L5540">
        <v>-5</v>
      </c>
    </row>
    <row r="5541" spans="1:12">
      <c r="A5541" s="183" t="s">
        <v>11468</v>
      </c>
      <c r="L5541">
        <v>-5</v>
      </c>
    </row>
    <row r="5542" spans="1:12">
      <c r="A5542" s="183" t="s">
        <v>11469</v>
      </c>
      <c r="L5542">
        <v>-40</v>
      </c>
    </row>
    <row r="5543" spans="1:12">
      <c r="A5543" s="183" t="s">
        <v>11469</v>
      </c>
      <c r="L5543">
        <v>-11</v>
      </c>
    </row>
    <row r="5544" spans="1:12">
      <c r="A5544" s="183" t="s">
        <v>11470</v>
      </c>
      <c r="L5544">
        <v>-10</v>
      </c>
    </row>
    <row r="5545" spans="1:12">
      <c r="A5545" s="183" t="s">
        <v>11470</v>
      </c>
      <c r="L5545">
        <v>-10</v>
      </c>
    </row>
    <row r="5546" spans="1:12">
      <c r="A5546" s="183" t="s">
        <v>11471</v>
      </c>
      <c r="L5546">
        <v>-10</v>
      </c>
    </row>
    <row r="5547" spans="1:12">
      <c r="A5547" s="183" t="s">
        <v>11471</v>
      </c>
      <c r="L5547">
        <v>-10</v>
      </c>
    </row>
    <row r="5548" spans="1:12">
      <c r="A5548" s="183" t="s">
        <v>11472</v>
      </c>
      <c r="L5548">
        <v>-20</v>
      </c>
    </row>
    <row r="5549" spans="1:12">
      <c r="A5549" s="183" t="s">
        <v>11472</v>
      </c>
      <c r="L5549">
        <v>-10</v>
      </c>
    </row>
    <row r="5550" spans="1:12">
      <c r="A5550" s="183" t="s">
        <v>11473</v>
      </c>
      <c r="L5550">
        <v>-20</v>
      </c>
    </row>
    <row r="5551" spans="1:12">
      <c r="A5551" s="183" t="s">
        <v>11473</v>
      </c>
      <c r="L5551">
        <v>-10</v>
      </c>
    </row>
    <row r="5552" spans="1:12">
      <c r="A5552" s="183" t="s">
        <v>11474</v>
      </c>
      <c r="L5552">
        <v>-20</v>
      </c>
    </row>
    <row r="5553" spans="1:12">
      <c r="A5553" s="183" t="s">
        <v>11474</v>
      </c>
      <c r="L5553">
        <v>-10</v>
      </c>
    </row>
    <row r="5554" spans="1:12">
      <c r="A5554" s="183" t="s">
        <v>11475</v>
      </c>
      <c r="L5554">
        <v>-20</v>
      </c>
    </row>
    <row r="5555" spans="1:12">
      <c r="A5555" s="183" t="s">
        <v>11475</v>
      </c>
      <c r="L5555">
        <v>-10</v>
      </c>
    </row>
    <row r="5556" spans="1:12">
      <c r="A5556" s="183" t="s">
        <v>11476</v>
      </c>
      <c r="L5556">
        <v>-20</v>
      </c>
    </row>
    <row r="5557" spans="1:12">
      <c r="A5557" s="183" t="s">
        <v>11476</v>
      </c>
      <c r="L5557">
        <v>-10</v>
      </c>
    </row>
    <row r="5558" spans="1:12">
      <c r="A5558" s="183" t="s">
        <v>11477</v>
      </c>
      <c r="L5558">
        <v>-20</v>
      </c>
    </row>
    <row r="5559" spans="1:12">
      <c r="A5559" s="183" t="s">
        <v>11477</v>
      </c>
      <c r="L5559">
        <v>-10</v>
      </c>
    </row>
    <row r="5560" spans="1:12">
      <c r="A5560" s="183" t="s">
        <v>11478</v>
      </c>
      <c r="L5560">
        <v>-20</v>
      </c>
    </row>
    <row r="5561" spans="1:12">
      <c r="A5561" s="183" t="s">
        <v>11478</v>
      </c>
      <c r="L5561">
        <v>-10</v>
      </c>
    </row>
    <row r="5562" spans="1:12">
      <c r="A5562" s="183" t="s">
        <v>11479</v>
      </c>
      <c r="L5562">
        <v>-20</v>
      </c>
    </row>
    <row r="5563" spans="1:12">
      <c r="A5563" s="183" t="s">
        <v>11479</v>
      </c>
      <c r="L5563">
        <v>-10</v>
      </c>
    </row>
    <row r="5564" spans="1:12">
      <c r="A5564" s="183" t="s">
        <v>11480</v>
      </c>
      <c r="L5564">
        <v>-10</v>
      </c>
    </row>
    <row r="5565" spans="1:12">
      <c r="A5565" s="183" t="s">
        <v>11480</v>
      </c>
      <c r="L5565">
        <v>-8</v>
      </c>
    </row>
    <row r="5566" spans="1:12">
      <c r="A5566" s="183" t="s">
        <v>11481</v>
      </c>
      <c r="L5566">
        <v>-10</v>
      </c>
    </row>
    <row r="5567" spans="1:12">
      <c r="A5567" s="183" t="s">
        <v>11481</v>
      </c>
      <c r="L5567">
        <v>-10</v>
      </c>
    </row>
    <row r="5568" spans="1:12">
      <c r="A5568" s="183" t="s">
        <v>11482</v>
      </c>
      <c r="L5568">
        <v>-10</v>
      </c>
    </row>
    <row r="5569" spans="1:12">
      <c r="A5569" s="183" t="s">
        <v>11482</v>
      </c>
      <c r="L5569">
        <v>-10</v>
      </c>
    </row>
    <row r="5570" spans="1:12">
      <c r="A5570" s="183" t="s">
        <v>11483</v>
      </c>
      <c r="L5570">
        <v>-10</v>
      </c>
    </row>
    <row r="5571" spans="1:12">
      <c r="A5571" s="183" t="s">
        <v>11483</v>
      </c>
      <c r="L5571">
        <v>-10</v>
      </c>
    </row>
    <row r="5572" spans="1:12">
      <c r="A5572" s="183" t="s">
        <v>11484</v>
      </c>
      <c r="L5572">
        <v>-10</v>
      </c>
    </row>
    <row r="5573" spans="1:12">
      <c r="A5573" s="183" t="s">
        <v>11484</v>
      </c>
      <c r="L5573">
        <v>-10</v>
      </c>
    </row>
    <row r="5574" spans="1:12">
      <c r="A5574" s="183" t="s">
        <v>11485</v>
      </c>
      <c r="L5574">
        <v>-10</v>
      </c>
    </row>
    <row r="5575" spans="1:12">
      <c r="A5575" s="183" t="s">
        <v>11486</v>
      </c>
      <c r="L5575">
        <v>-10</v>
      </c>
    </row>
    <row r="5576" spans="1:12">
      <c r="A5576" s="183" t="s">
        <v>11487</v>
      </c>
      <c r="L5576">
        <v>-10</v>
      </c>
    </row>
    <row r="5577" spans="1:12">
      <c r="A5577" s="183" t="s">
        <v>11487</v>
      </c>
      <c r="L5577">
        <v>-10</v>
      </c>
    </row>
    <row r="5578" spans="1:12">
      <c r="A5578" s="183" t="s">
        <v>11488</v>
      </c>
      <c r="L5578">
        <v>-10</v>
      </c>
    </row>
    <row r="5579" spans="1:12">
      <c r="A5579" s="183" t="s">
        <v>11488</v>
      </c>
      <c r="L5579">
        <v>-10</v>
      </c>
    </row>
    <row r="5580" spans="1:12">
      <c r="A5580" s="183" t="s">
        <v>11489</v>
      </c>
      <c r="L5580">
        <v>-5</v>
      </c>
    </row>
    <row r="5581" spans="1:12">
      <c r="A5581" s="183" t="s">
        <v>11489</v>
      </c>
      <c r="L5581">
        <v>-10</v>
      </c>
    </row>
    <row r="5582" spans="1:12">
      <c r="A5582" s="183" t="s">
        <v>11490</v>
      </c>
      <c r="L5582">
        <v>-10</v>
      </c>
    </row>
    <row r="5583" spans="1:12">
      <c r="A5583" s="183" t="s">
        <v>11490</v>
      </c>
      <c r="L5583">
        <v>-10</v>
      </c>
    </row>
    <row r="5584" spans="1:12">
      <c r="A5584" s="183" t="s">
        <v>11491</v>
      </c>
      <c r="L5584">
        <v>-5</v>
      </c>
    </row>
    <row r="5585" spans="1:12">
      <c r="A5585" s="183" t="s">
        <v>11491</v>
      </c>
      <c r="L5585">
        <v>-10</v>
      </c>
    </row>
    <row r="5586" spans="1:12">
      <c r="A5586" s="183" t="s">
        <v>11492</v>
      </c>
      <c r="L5586">
        <v>-5</v>
      </c>
    </row>
    <row r="5587" spans="1:12">
      <c r="A5587" s="183" t="s">
        <v>11492</v>
      </c>
      <c r="L5587">
        <v>-7</v>
      </c>
    </row>
    <row r="5588" spans="1:12">
      <c r="A5588" s="183" t="s">
        <v>11493</v>
      </c>
      <c r="L5588">
        <v>-10</v>
      </c>
    </row>
    <row r="5589" spans="1:12">
      <c r="A5589" s="183" t="s">
        <v>11494</v>
      </c>
      <c r="L5589">
        <v>-10</v>
      </c>
    </row>
    <row r="5590" spans="1:12">
      <c r="A5590" s="183" t="s">
        <v>11495</v>
      </c>
      <c r="L5590">
        <v>-10</v>
      </c>
    </row>
    <row r="5591" spans="1:12">
      <c r="A5591" s="183" t="s">
        <v>11496</v>
      </c>
      <c r="L5591">
        <v>-5</v>
      </c>
    </row>
    <row r="5592" spans="1:12">
      <c r="A5592" s="183" t="s">
        <v>11497</v>
      </c>
      <c r="L5592">
        <v>-5</v>
      </c>
    </row>
    <row r="5593" spans="1:12">
      <c r="A5593" s="183" t="s">
        <v>11498</v>
      </c>
      <c r="L5593">
        <v>-5</v>
      </c>
    </row>
    <row r="5594" spans="1:12">
      <c r="A5594" s="183" t="s">
        <v>11499</v>
      </c>
      <c r="L5594">
        <v>-5</v>
      </c>
    </row>
    <row r="5595" spans="1:12">
      <c r="A5595" s="183" t="s">
        <v>11500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5177</v>
      </c>
      <c r="L5600">
        <v>-4</v>
      </c>
    </row>
    <row r="5601" spans="1:12">
      <c r="A5601" s="183" t="s">
        <v>5177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7489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6406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4612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5040</v>
      </c>
      <c r="L5614">
        <v>-3</v>
      </c>
    </row>
    <row r="5615" spans="1:12">
      <c r="A5615" s="183" t="s">
        <v>5040</v>
      </c>
      <c r="L5615">
        <v>-2</v>
      </c>
    </row>
    <row r="5616" spans="1:12">
      <c r="A5616" s="183" t="s">
        <v>4657</v>
      </c>
      <c r="L5616">
        <v>-3</v>
      </c>
    </row>
    <row r="5617" spans="1:12">
      <c r="A5617" s="183" t="s">
        <v>4657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4978</v>
      </c>
      <c r="L5622">
        <v>-3</v>
      </c>
    </row>
    <row r="5623" spans="1:12">
      <c r="A5623" s="183" t="s">
        <v>4978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6323</v>
      </c>
      <c r="L5626">
        <v>-3</v>
      </c>
    </row>
    <row r="5627" spans="1:12">
      <c r="A5627" s="183" t="s">
        <v>6323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4625</v>
      </c>
      <c r="L5640">
        <v>-3</v>
      </c>
    </row>
    <row r="5641" spans="1:12">
      <c r="A5641" s="183" t="s">
        <v>4625</v>
      </c>
      <c r="L5641">
        <v>-1</v>
      </c>
    </row>
    <row r="5642" spans="1:12">
      <c r="A5642" s="183" t="s">
        <v>6330</v>
      </c>
      <c r="L5642">
        <v>-3</v>
      </c>
    </row>
    <row r="5643" spans="1:12">
      <c r="A5643" s="183" t="s">
        <v>6330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4979</v>
      </c>
      <c r="L5646">
        <v>-4</v>
      </c>
    </row>
    <row r="5647" spans="1:12">
      <c r="A5647" s="183" t="s">
        <v>4979</v>
      </c>
      <c r="L5647">
        <v>-1</v>
      </c>
    </row>
    <row r="5648" spans="1:12">
      <c r="A5648" s="183" t="s">
        <v>6331</v>
      </c>
      <c r="L5648">
        <v>-4</v>
      </c>
    </row>
    <row r="5649" spans="1:12">
      <c r="A5649" s="183" t="s">
        <v>6331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4626</v>
      </c>
      <c r="L5654">
        <v>-4</v>
      </c>
    </row>
    <row r="5655" spans="1:12">
      <c r="A5655" s="183" t="s">
        <v>4626</v>
      </c>
      <c r="L5655">
        <v>-2</v>
      </c>
    </row>
    <row r="5656" spans="1:12">
      <c r="A5656" s="183" t="s">
        <v>6896</v>
      </c>
      <c r="L5656">
        <v>-4</v>
      </c>
    </row>
    <row r="5657" spans="1:12">
      <c r="A5657" s="183" t="s">
        <v>6896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4623</v>
      </c>
      <c r="L5660">
        <v>-4</v>
      </c>
    </row>
    <row r="5661" spans="1:12">
      <c r="A5661" s="183" t="s">
        <v>4623</v>
      </c>
      <c r="L5661">
        <v>-1</v>
      </c>
    </row>
    <row r="5662" spans="1:12">
      <c r="A5662" s="183" t="s">
        <v>5166</v>
      </c>
      <c r="L5662">
        <v>-4</v>
      </c>
    </row>
    <row r="5663" spans="1:12">
      <c r="A5663" s="183" t="s">
        <v>5166</v>
      </c>
      <c r="L5663">
        <v>-1</v>
      </c>
    </row>
    <row r="5664" spans="1:12">
      <c r="A5664" s="183" t="s">
        <v>6336</v>
      </c>
      <c r="L5664">
        <v>-4</v>
      </c>
    </row>
    <row r="5665" spans="1:12">
      <c r="A5665" s="183" t="s">
        <v>6336</v>
      </c>
      <c r="L5665">
        <v>-1</v>
      </c>
    </row>
    <row r="5666" spans="1:12">
      <c r="A5666" s="183" t="s">
        <v>6333</v>
      </c>
      <c r="L5666">
        <v>-4</v>
      </c>
    </row>
    <row r="5667" spans="1:12">
      <c r="A5667" s="183" t="s">
        <v>6333</v>
      </c>
      <c r="L5667">
        <v>-1</v>
      </c>
    </row>
    <row r="5668" spans="1:12">
      <c r="A5668" s="183" t="s">
        <v>5158</v>
      </c>
      <c r="L5668">
        <v>-4</v>
      </c>
    </row>
    <row r="5669" spans="1:12">
      <c r="A5669" s="183" t="s">
        <v>5158</v>
      </c>
      <c r="L5669">
        <v>-1</v>
      </c>
    </row>
    <row r="5670" spans="1:12">
      <c r="A5670" s="183" t="s">
        <v>6335</v>
      </c>
      <c r="L5670">
        <v>-4</v>
      </c>
    </row>
    <row r="5671" spans="1:12">
      <c r="A5671" s="183" t="s">
        <v>6335</v>
      </c>
      <c r="L5671">
        <v>-2</v>
      </c>
    </row>
    <row r="5672" spans="1:12">
      <c r="A5672" s="183" t="s">
        <v>5220</v>
      </c>
      <c r="L5672">
        <v>-4</v>
      </c>
    </row>
    <row r="5673" spans="1:12">
      <c r="A5673" s="183" t="s">
        <v>5220</v>
      </c>
      <c r="L5673">
        <v>-1</v>
      </c>
    </row>
    <row r="5674" spans="1:12">
      <c r="A5674" s="183" t="s">
        <v>5194</v>
      </c>
      <c r="L5674">
        <v>-4</v>
      </c>
    </row>
    <row r="5675" spans="1:12">
      <c r="A5675" s="183" t="s">
        <v>5194</v>
      </c>
      <c r="L5675">
        <v>-1</v>
      </c>
    </row>
    <row r="5676" spans="1:12">
      <c r="A5676" s="183" t="s">
        <v>6407</v>
      </c>
      <c r="L5676">
        <v>-4</v>
      </c>
    </row>
    <row r="5677" spans="1:12">
      <c r="A5677" s="183" t="s">
        <v>6407</v>
      </c>
      <c r="L5677">
        <v>-1</v>
      </c>
    </row>
    <row r="5678" spans="1:12">
      <c r="A5678" s="183" t="s">
        <v>5175</v>
      </c>
      <c r="L5678">
        <v>-4</v>
      </c>
    </row>
    <row r="5679" spans="1:12">
      <c r="A5679" s="183" t="s">
        <v>5175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5219</v>
      </c>
      <c r="L5682">
        <v>-4</v>
      </c>
    </row>
    <row r="5683" spans="1:12">
      <c r="A5683" s="183" t="s">
        <v>5219</v>
      </c>
      <c r="L5683">
        <v>-1</v>
      </c>
    </row>
    <row r="5684" spans="1:12">
      <c r="A5684" s="183" t="s">
        <v>5221</v>
      </c>
      <c r="L5684">
        <v>-4</v>
      </c>
    </row>
    <row r="5685" spans="1:12">
      <c r="A5685" s="183" t="s">
        <v>5221</v>
      </c>
      <c r="L5685">
        <v>-1</v>
      </c>
    </row>
    <row r="5686" spans="1:12">
      <c r="A5686" s="183" t="s">
        <v>4772</v>
      </c>
      <c r="L5686">
        <v>-4</v>
      </c>
    </row>
    <row r="5687" spans="1:12">
      <c r="A5687" s="183" t="s">
        <v>4772</v>
      </c>
      <c r="L5687">
        <v>-1</v>
      </c>
    </row>
    <row r="5688" spans="1:12">
      <c r="A5688" s="183" t="s">
        <v>5171</v>
      </c>
      <c r="L5688">
        <v>-4</v>
      </c>
    </row>
    <row r="5689" spans="1:12">
      <c r="A5689" s="183" t="s">
        <v>5171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4656</v>
      </c>
      <c r="L5694">
        <v>-4</v>
      </c>
    </row>
    <row r="5695" spans="1:12">
      <c r="A5695" s="183" t="s">
        <v>4656</v>
      </c>
      <c r="L5695">
        <v>-1</v>
      </c>
    </row>
    <row r="5696" spans="1:12">
      <c r="A5696" s="183" t="s">
        <v>4624</v>
      </c>
      <c r="L5696">
        <v>-4</v>
      </c>
    </row>
    <row r="5697" spans="1:12">
      <c r="A5697" s="183" t="s">
        <v>4624</v>
      </c>
      <c r="L5697">
        <v>-1</v>
      </c>
    </row>
    <row r="5698" spans="1:12">
      <c r="A5698" s="183" t="s">
        <v>5195</v>
      </c>
      <c r="L5698">
        <v>-3</v>
      </c>
    </row>
    <row r="5699" spans="1:12">
      <c r="A5699" s="183" t="s">
        <v>5176</v>
      </c>
      <c r="L5699">
        <v>-3</v>
      </c>
    </row>
    <row r="5700" spans="1:12">
      <c r="A5700" s="183" t="s">
        <v>5226</v>
      </c>
      <c r="L5700">
        <v>-3</v>
      </c>
    </row>
    <row r="5701" spans="1:12">
      <c r="A5701" s="183" t="s">
        <v>6332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6334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4627</v>
      </c>
      <c r="L5705">
        <v>-3</v>
      </c>
    </row>
    <row r="5706" spans="1:12">
      <c r="A5706" s="183" t="s">
        <v>6305</v>
      </c>
      <c r="L5706">
        <v>-3</v>
      </c>
    </row>
    <row r="5707" spans="1:12">
      <c r="A5707" s="183" t="s">
        <v>4865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11501</v>
      </c>
      <c r="L5710">
        <v>-2</v>
      </c>
    </row>
    <row r="5711" spans="1:12">
      <c r="A5711" s="183" t="s">
        <v>11502</v>
      </c>
      <c r="L5711">
        <v>-2</v>
      </c>
    </row>
    <row r="5712" spans="1:12">
      <c r="A5712" s="183" t="s">
        <v>11503</v>
      </c>
      <c r="L5712">
        <v>-2</v>
      </c>
    </row>
    <row r="5713" spans="1:12">
      <c r="A5713" s="183" t="s">
        <v>11504</v>
      </c>
      <c r="L5713">
        <v>-2</v>
      </c>
    </row>
    <row r="5714" spans="1:12">
      <c r="A5714" s="183" t="s">
        <v>11505</v>
      </c>
      <c r="L5714">
        <v>-2</v>
      </c>
    </row>
    <row r="5715" spans="1:12">
      <c r="A5715" s="183" t="s">
        <v>11506</v>
      </c>
      <c r="L5715">
        <v>-2</v>
      </c>
    </row>
    <row r="5716" spans="1:12">
      <c r="A5716" s="183" t="s">
        <v>11507</v>
      </c>
      <c r="L5716">
        <v>-2</v>
      </c>
    </row>
    <row r="5717" spans="1:12">
      <c r="A5717" s="183" t="s">
        <v>11508</v>
      </c>
      <c r="L5717">
        <v>-2</v>
      </c>
    </row>
    <row r="5718" spans="1:12">
      <c r="A5718" s="183" t="s">
        <v>11509</v>
      </c>
      <c r="L5718">
        <v>-2</v>
      </c>
    </row>
    <row r="5719" spans="1:12">
      <c r="A5719" s="183" t="s">
        <v>11510</v>
      </c>
      <c r="L5719">
        <v>-2</v>
      </c>
    </row>
    <row r="5720" spans="1:12">
      <c r="A5720" s="183" t="s">
        <v>11511</v>
      </c>
      <c r="L5720">
        <v>-2</v>
      </c>
    </row>
    <row r="5721" spans="1:12">
      <c r="A5721" s="183" t="s">
        <v>11512</v>
      </c>
      <c r="L5721">
        <v>-2</v>
      </c>
    </row>
    <row r="5722" spans="1:12">
      <c r="A5722" s="183" t="s">
        <v>11513</v>
      </c>
      <c r="L5722">
        <v>-2</v>
      </c>
    </row>
    <row r="5723" spans="1:12">
      <c r="A5723" s="183" t="s">
        <v>11514</v>
      </c>
      <c r="L5723">
        <v>-2</v>
      </c>
    </row>
    <row r="5724" spans="1:12">
      <c r="A5724" s="183" t="s">
        <v>11515</v>
      </c>
      <c r="L5724">
        <v>-2</v>
      </c>
    </row>
    <row r="5725" spans="1:12">
      <c r="A5725" s="183" t="s">
        <v>11516</v>
      </c>
      <c r="L5725">
        <v>-2</v>
      </c>
    </row>
    <row r="5726" spans="1:12">
      <c r="A5726" s="183" t="s">
        <v>11517</v>
      </c>
      <c r="L5726">
        <v>-2</v>
      </c>
    </row>
    <row r="5727" spans="1:12">
      <c r="A5727" s="183" t="s">
        <v>11518</v>
      </c>
      <c r="L5727">
        <v>-2</v>
      </c>
    </row>
    <row r="5728" spans="1:12">
      <c r="A5728" s="183" t="s">
        <v>11519</v>
      </c>
      <c r="L5728">
        <v>-2</v>
      </c>
    </row>
    <row r="5729" spans="1:12">
      <c r="A5729" s="183" t="s">
        <v>11520</v>
      </c>
      <c r="L5729">
        <v>-2</v>
      </c>
    </row>
    <row r="5730" spans="1:12">
      <c r="A5730" s="183" t="s">
        <v>11521</v>
      </c>
      <c r="L5730">
        <v>-2</v>
      </c>
    </row>
    <row r="5731" spans="1:12">
      <c r="A5731" s="183" t="s">
        <v>11522</v>
      </c>
      <c r="L5731">
        <v>-2</v>
      </c>
    </row>
    <row r="5732" spans="1:12">
      <c r="A5732" s="183" t="s">
        <v>11523</v>
      </c>
      <c r="L5732">
        <v>-2</v>
      </c>
    </row>
    <row r="5733" spans="1:12">
      <c r="A5733" s="183" t="s">
        <v>11524</v>
      </c>
      <c r="L5733">
        <v>-2</v>
      </c>
    </row>
    <row r="5734" spans="1:12">
      <c r="A5734" s="183" t="s">
        <v>11525</v>
      </c>
      <c r="L5734">
        <v>-2</v>
      </c>
    </row>
    <row r="5735" spans="1:12">
      <c r="A5735" s="183" t="s">
        <v>11526</v>
      </c>
      <c r="L5735">
        <v>-2</v>
      </c>
    </row>
    <row r="5736" spans="1:12">
      <c r="A5736" s="183" t="s">
        <v>11526</v>
      </c>
      <c r="L5736">
        <v>-1</v>
      </c>
    </row>
    <row r="5737" spans="1:12">
      <c r="A5737" s="183" t="s">
        <v>11527</v>
      </c>
      <c r="L5737">
        <v>-2</v>
      </c>
    </row>
    <row r="5738" spans="1:12">
      <c r="A5738" s="183" t="s">
        <v>11527</v>
      </c>
      <c r="L5738">
        <v>-1</v>
      </c>
    </row>
    <row r="5739" spans="1:12">
      <c r="A5739" s="183" t="s">
        <v>11528</v>
      </c>
      <c r="L5739">
        <v>-2</v>
      </c>
    </row>
    <row r="5740" spans="1:12">
      <c r="A5740" s="183" t="s">
        <v>11528</v>
      </c>
      <c r="L5740">
        <v>-1</v>
      </c>
    </row>
    <row r="5741" spans="1:12">
      <c r="A5741" s="183" t="s">
        <v>11529</v>
      </c>
      <c r="L5741">
        <v>-2</v>
      </c>
    </row>
    <row r="5742" spans="1:12">
      <c r="A5742" s="183" t="s">
        <v>11530</v>
      </c>
      <c r="L5742">
        <v>-2</v>
      </c>
    </row>
    <row r="5743" spans="1:12">
      <c r="A5743" s="183" t="s">
        <v>11531</v>
      </c>
      <c r="L5743">
        <v>-2</v>
      </c>
    </row>
    <row r="5744" spans="1:12">
      <c r="A5744" s="183" t="s">
        <v>11532</v>
      </c>
      <c r="L5744">
        <v>-2</v>
      </c>
    </row>
    <row r="5745" spans="1:12">
      <c r="A5745" s="183" t="s">
        <v>11533</v>
      </c>
      <c r="L5745">
        <v>-2</v>
      </c>
    </row>
    <row r="5746" spans="1:12">
      <c r="A5746" s="183" t="s">
        <v>11534</v>
      </c>
      <c r="L5746">
        <v>-2</v>
      </c>
    </row>
    <row r="5747" spans="1:12">
      <c r="A5747" s="183" t="s">
        <v>11535</v>
      </c>
      <c r="L5747">
        <v>-2</v>
      </c>
    </row>
    <row r="5748" spans="1:12">
      <c r="A5748" s="183" t="s">
        <v>11536</v>
      </c>
      <c r="L5748">
        <v>-2</v>
      </c>
    </row>
    <row r="5749" spans="1:12">
      <c r="A5749" s="183" t="s">
        <v>11537</v>
      </c>
      <c r="L5749">
        <v>-2</v>
      </c>
    </row>
    <row r="5750" spans="1:12">
      <c r="A5750" s="183" t="s">
        <v>11538</v>
      </c>
      <c r="L5750">
        <v>-2</v>
      </c>
    </row>
    <row r="5751" spans="1:12">
      <c r="A5751" s="183" t="s">
        <v>11539</v>
      </c>
      <c r="L5751">
        <v>-2</v>
      </c>
    </row>
    <row r="5752" spans="1:12">
      <c r="A5752" s="183" t="s">
        <v>11540</v>
      </c>
      <c r="L5752">
        <v>-2</v>
      </c>
    </row>
    <row r="5753" spans="1:12">
      <c r="A5753" s="183" t="s">
        <v>11541</v>
      </c>
      <c r="L5753">
        <v>-2</v>
      </c>
    </row>
    <row r="5754" spans="1:12">
      <c r="A5754" s="183" t="s">
        <v>11541</v>
      </c>
      <c r="L5754">
        <v>-1</v>
      </c>
    </row>
    <row r="5755" spans="1:12">
      <c r="A5755" s="183" t="s">
        <v>11542</v>
      </c>
      <c r="L5755">
        <v>-2</v>
      </c>
    </row>
    <row r="5756" spans="1:12">
      <c r="A5756" s="183" t="s">
        <v>11542</v>
      </c>
      <c r="L5756">
        <v>-1</v>
      </c>
    </row>
    <row r="5757" spans="1:12">
      <c r="A5757" s="183" t="s">
        <v>11543</v>
      </c>
      <c r="L5757">
        <v>-2</v>
      </c>
    </row>
    <row r="5758" spans="1:12">
      <c r="A5758" s="183" t="s">
        <v>11543</v>
      </c>
      <c r="L5758">
        <v>-1</v>
      </c>
    </row>
    <row r="5759" spans="1:12">
      <c r="A5759" s="183" t="s">
        <v>11544</v>
      </c>
      <c r="L5759">
        <v>-2</v>
      </c>
    </row>
    <row r="5760" spans="1:12">
      <c r="A5760" s="183" t="s">
        <v>11544</v>
      </c>
      <c r="L5760">
        <v>-1</v>
      </c>
    </row>
    <row r="5761" spans="1:12">
      <c r="A5761" s="183" t="s">
        <v>11545</v>
      </c>
      <c r="L5761">
        <v>-2</v>
      </c>
    </row>
    <row r="5762" spans="1:12">
      <c r="A5762" s="183" t="s">
        <v>11545</v>
      </c>
      <c r="L5762">
        <v>-1</v>
      </c>
    </row>
    <row r="5763" spans="1:12">
      <c r="A5763" s="183" t="s">
        <v>11546</v>
      </c>
      <c r="L5763">
        <v>-2</v>
      </c>
    </row>
    <row r="5764" spans="1:12">
      <c r="A5764" s="183" t="s">
        <v>11546</v>
      </c>
      <c r="L5764">
        <v>-1</v>
      </c>
    </row>
    <row r="5765" spans="1:12">
      <c r="A5765" s="183" t="s">
        <v>11547</v>
      </c>
      <c r="L5765">
        <v>-2</v>
      </c>
    </row>
    <row r="5766" spans="1:12">
      <c r="A5766" s="183" t="s">
        <v>11547</v>
      </c>
      <c r="L5766">
        <v>-1</v>
      </c>
    </row>
    <row r="5767" spans="1:12">
      <c r="A5767" s="183" t="s">
        <v>11548</v>
      </c>
      <c r="L5767">
        <v>-2</v>
      </c>
    </row>
    <row r="5768" spans="1:12">
      <c r="A5768" s="183" t="s">
        <v>11548</v>
      </c>
      <c r="L5768">
        <v>-1</v>
      </c>
    </row>
    <row r="5769" spans="1:12">
      <c r="A5769" s="183" t="s">
        <v>11549</v>
      </c>
      <c r="L5769">
        <v>-2</v>
      </c>
    </row>
    <row r="5770" spans="1:12">
      <c r="A5770" s="183" t="s">
        <v>11549</v>
      </c>
      <c r="L5770">
        <v>-1</v>
      </c>
    </row>
    <row r="5771" spans="1:12">
      <c r="A5771" s="183" t="s">
        <v>11550</v>
      </c>
      <c r="L5771">
        <v>-2</v>
      </c>
    </row>
    <row r="5772" spans="1:12">
      <c r="A5772" s="183" t="s">
        <v>11550</v>
      </c>
      <c r="L5772">
        <v>-1</v>
      </c>
    </row>
    <row r="5773" spans="1:12">
      <c r="A5773" s="183" t="s">
        <v>11551</v>
      </c>
      <c r="L5773">
        <v>-2</v>
      </c>
    </row>
    <row r="5774" spans="1:12">
      <c r="A5774" s="183" t="s">
        <v>11551</v>
      </c>
      <c r="L5774">
        <v>-1</v>
      </c>
    </row>
    <row r="5775" spans="1:12">
      <c r="A5775" s="183" t="s">
        <v>11552</v>
      </c>
      <c r="L5775">
        <v>-3</v>
      </c>
    </row>
    <row r="5776" spans="1:12">
      <c r="A5776" s="183" t="s">
        <v>11552</v>
      </c>
      <c r="L5776">
        <v>-1</v>
      </c>
    </row>
    <row r="5777" spans="1:12">
      <c r="A5777" s="183" t="s">
        <v>11553</v>
      </c>
      <c r="L5777">
        <v>-3</v>
      </c>
    </row>
    <row r="5778" spans="1:12">
      <c r="A5778" s="183" t="s">
        <v>11553</v>
      </c>
      <c r="L5778">
        <v>-2</v>
      </c>
    </row>
    <row r="5779" spans="1:12">
      <c r="A5779" s="183" t="s">
        <v>11554</v>
      </c>
      <c r="L5779">
        <v>-3</v>
      </c>
    </row>
    <row r="5780" spans="1:12">
      <c r="A5780" s="183" t="s">
        <v>11554</v>
      </c>
      <c r="L5780">
        <v>-2</v>
      </c>
    </row>
    <row r="5781" spans="1:12">
      <c r="A5781" s="183" t="s">
        <v>11555</v>
      </c>
      <c r="L5781">
        <v>-3</v>
      </c>
    </row>
    <row r="5782" spans="1:12">
      <c r="A5782" s="183" t="s">
        <v>11555</v>
      </c>
      <c r="L5782">
        <v>-2</v>
      </c>
    </row>
    <row r="5783" spans="1:12">
      <c r="A5783" s="183" t="s">
        <v>11556</v>
      </c>
      <c r="L5783">
        <v>-3</v>
      </c>
    </row>
    <row r="5784" spans="1:12">
      <c r="A5784" s="183" t="s">
        <v>11556</v>
      </c>
      <c r="L5784">
        <v>-2</v>
      </c>
    </row>
    <row r="5785" spans="1:12">
      <c r="A5785" s="183" t="s">
        <v>11557</v>
      </c>
      <c r="L5785">
        <v>-3</v>
      </c>
    </row>
    <row r="5786" spans="1:12">
      <c r="A5786" s="183" t="s">
        <v>11557</v>
      </c>
      <c r="L5786">
        <v>-1</v>
      </c>
    </row>
    <row r="5787" spans="1:12">
      <c r="A5787" s="183" t="s">
        <v>11558</v>
      </c>
      <c r="L5787">
        <v>-3</v>
      </c>
    </row>
    <row r="5788" spans="1:12">
      <c r="A5788" s="183" t="s">
        <v>11558</v>
      </c>
      <c r="L5788">
        <v>-1</v>
      </c>
    </row>
    <row r="5789" spans="1:12">
      <c r="A5789" s="183" t="s">
        <v>11559</v>
      </c>
      <c r="L5789">
        <v>-3</v>
      </c>
    </row>
    <row r="5790" spans="1:12">
      <c r="A5790" s="183" t="s">
        <v>11559</v>
      </c>
      <c r="L5790">
        <v>-2</v>
      </c>
    </row>
    <row r="5791" spans="1:12">
      <c r="A5791" s="183" t="s">
        <v>11560</v>
      </c>
      <c r="L5791">
        <v>-3</v>
      </c>
    </row>
    <row r="5792" spans="1:12">
      <c r="A5792" s="183" t="s">
        <v>11560</v>
      </c>
      <c r="L5792">
        <v>-1</v>
      </c>
    </row>
    <row r="5793" spans="1:12">
      <c r="A5793" s="183" t="s">
        <v>11561</v>
      </c>
      <c r="L5793">
        <v>-3</v>
      </c>
    </row>
    <row r="5794" spans="1:12">
      <c r="A5794" s="183" t="s">
        <v>11561</v>
      </c>
      <c r="L5794">
        <v>-1</v>
      </c>
    </row>
    <row r="5795" spans="1:12">
      <c r="A5795" s="183" t="s">
        <v>11562</v>
      </c>
      <c r="L5795">
        <v>-3</v>
      </c>
    </row>
    <row r="5796" spans="1:12">
      <c r="A5796" s="183" t="s">
        <v>11562</v>
      </c>
      <c r="L5796">
        <v>-1</v>
      </c>
    </row>
    <row r="5797" spans="1:12">
      <c r="A5797" s="183" t="s">
        <v>11563</v>
      </c>
      <c r="L5797">
        <v>-3</v>
      </c>
    </row>
    <row r="5798" spans="1:12">
      <c r="A5798" s="183" t="s">
        <v>11563</v>
      </c>
      <c r="L5798">
        <v>-1</v>
      </c>
    </row>
    <row r="5799" spans="1:12">
      <c r="A5799" s="183" t="s">
        <v>11564</v>
      </c>
      <c r="L5799">
        <v>-3</v>
      </c>
    </row>
    <row r="5800" spans="1:12">
      <c r="A5800" s="183" t="s">
        <v>11564</v>
      </c>
      <c r="L5800">
        <v>-1</v>
      </c>
    </row>
    <row r="5801" spans="1:12">
      <c r="A5801" s="183" t="s">
        <v>11565</v>
      </c>
      <c r="L5801">
        <v>-3</v>
      </c>
    </row>
    <row r="5802" spans="1:12">
      <c r="A5802" s="183" t="s">
        <v>11565</v>
      </c>
      <c r="L5802">
        <v>-1</v>
      </c>
    </row>
    <row r="5803" spans="1:12">
      <c r="A5803" s="183" t="s">
        <v>11566</v>
      </c>
      <c r="L5803">
        <v>-3</v>
      </c>
    </row>
    <row r="5804" spans="1:12">
      <c r="A5804" s="183" t="s">
        <v>11566</v>
      </c>
      <c r="L5804">
        <v>-1</v>
      </c>
    </row>
    <row r="5805" spans="1:12">
      <c r="A5805" s="183" t="s">
        <v>11567</v>
      </c>
      <c r="L5805">
        <v>-3</v>
      </c>
    </row>
    <row r="5806" spans="1:12">
      <c r="A5806" s="183" t="s">
        <v>11567</v>
      </c>
      <c r="L5806">
        <v>-1</v>
      </c>
    </row>
    <row r="5807" spans="1:12">
      <c r="A5807" s="183" t="s">
        <v>11568</v>
      </c>
      <c r="L5807">
        <v>-3</v>
      </c>
    </row>
    <row r="5808" spans="1:12">
      <c r="A5808" s="183" t="s">
        <v>11568</v>
      </c>
      <c r="L5808">
        <v>-1</v>
      </c>
    </row>
    <row r="5809" spans="1:12">
      <c r="A5809" s="183" t="s">
        <v>11569</v>
      </c>
      <c r="L5809">
        <v>-3</v>
      </c>
    </row>
    <row r="5810" spans="1:12">
      <c r="A5810" s="183" t="s">
        <v>11569</v>
      </c>
      <c r="L5810">
        <v>-1</v>
      </c>
    </row>
    <row r="5811" spans="1:12">
      <c r="A5811" s="183" t="s">
        <v>11570</v>
      </c>
      <c r="L5811">
        <v>-3</v>
      </c>
    </row>
    <row r="5812" spans="1:12">
      <c r="A5812" s="183" t="s">
        <v>11570</v>
      </c>
      <c r="L5812">
        <v>-1</v>
      </c>
    </row>
    <row r="5813" spans="1:12">
      <c r="A5813" s="183" t="s">
        <v>11571</v>
      </c>
      <c r="L5813">
        <v>-3</v>
      </c>
    </row>
    <row r="5814" spans="1:12">
      <c r="A5814" s="183" t="s">
        <v>11571</v>
      </c>
      <c r="L5814">
        <v>-1</v>
      </c>
    </row>
    <row r="5815" spans="1:12">
      <c r="A5815" s="183" t="s">
        <v>11572</v>
      </c>
      <c r="L5815">
        <v>-3</v>
      </c>
    </row>
    <row r="5816" spans="1:12">
      <c r="A5816" s="183" t="s">
        <v>11572</v>
      </c>
      <c r="L5816">
        <v>-1</v>
      </c>
    </row>
    <row r="5817" spans="1:12">
      <c r="A5817" s="183" t="s">
        <v>11573</v>
      </c>
      <c r="L5817">
        <v>-3</v>
      </c>
    </row>
    <row r="5818" spans="1:12">
      <c r="A5818" s="183" t="s">
        <v>11573</v>
      </c>
      <c r="L5818">
        <v>-1</v>
      </c>
    </row>
    <row r="5819" spans="1:12">
      <c r="A5819" s="183" t="s">
        <v>11574</v>
      </c>
      <c r="L5819">
        <v>-2</v>
      </c>
    </row>
    <row r="5820" spans="1:12">
      <c r="A5820" s="183" t="s">
        <v>11574</v>
      </c>
      <c r="L5820">
        <v>-1</v>
      </c>
    </row>
    <row r="5821" spans="1:12">
      <c r="A5821" s="183" t="s">
        <v>11575</v>
      </c>
      <c r="L5821">
        <v>-2</v>
      </c>
    </row>
    <row r="5822" spans="1:12">
      <c r="A5822" s="183" t="s">
        <v>11575</v>
      </c>
      <c r="L5822">
        <v>-1</v>
      </c>
    </row>
    <row r="5823" spans="1:12">
      <c r="A5823" s="183" t="s">
        <v>11576</v>
      </c>
      <c r="L5823">
        <v>-2</v>
      </c>
    </row>
    <row r="5824" spans="1:12">
      <c r="A5824" s="183" t="s">
        <v>11576</v>
      </c>
      <c r="L5824">
        <v>-1</v>
      </c>
    </row>
    <row r="5825" spans="1:12">
      <c r="A5825" s="183" t="s">
        <v>11577</v>
      </c>
      <c r="L5825">
        <v>-2</v>
      </c>
    </row>
    <row r="5826" spans="1:12">
      <c r="A5826" s="183" t="s">
        <v>11577</v>
      </c>
      <c r="L5826">
        <v>-1</v>
      </c>
    </row>
    <row r="5827" spans="1:12">
      <c r="A5827" s="183" t="s">
        <v>11578</v>
      </c>
      <c r="L5827">
        <v>-2</v>
      </c>
    </row>
    <row r="5828" spans="1:12">
      <c r="A5828" s="183" t="s">
        <v>11578</v>
      </c>
      <c r="L5828">
        <v>-1</v>
      </c>
    </row>
    <row r="5829" spans="1:12">
      <c r="A5829" s="183" t="s">
        <v>11579</v>
      </c>
      <c r="L5829">
        <v>-2</v>
      </c>
    </row>
    <row r="5830" spans="1:12">
      <c r="A5830" s="183" t="s">
        <v>11579</v>
      </c>
      <c r="L5830">
        <v>-1</v>
      </c>
    </row>
    <row r="5831" spans="1:12">
      <c r="A5831" s="183" t="s">
        <v>11580</v>
      </c>
      <c r="L5831">
        <v>-2</v>
      </c>
    </row>
    <row r="5832" spans="1:12">
      <c r="A5832" s="183" t="s">
        <v>11580</v>
      </c>
      <c r="L5832">
        <v>-1</v>
      </c>
    </row>
    <row r="5833" spans="1:12">
      <c r="A5833" s="183" t="s">
        <v>11581</v>
      </c>
      <c r="L5833">
        <v>-2</v>
      </c>
    </row>
    <row r="5834" spans="1:12">
      <c r="A5834" s="183" t="s">
        <v>11581</v>
      </c>
      <c r="L5834">
        <v>-1</v>
      </c>
    </row>
    <row r="5835" spans="1:12">
      <c r="A5835" s="183" t="s">
        <v>11582</v>
      </c>
      <c r="L5835">
        <v>-2</v>
      </c>
    </row>
    <row r="5836" spans="1:12">
      <c r="A5836" s="183" t="s">
        <v>11582</v>
      </c>
      <c r="L5836">
        <v>-1</v>
      </c>
    </row>
    <row r="5837" spans="1:12">
      <c r="A5837" s="183" t="s">
        <v>11583</v>
      </c>
      <c r="L5837">
        <v>-1</v>
      </c>
    </row>
    <row r="5838" spans="1:12">
      <c r="A5838" s="183" t="s">
        <v>11584</v>
      </c>
      <c r="L5838">
        <v>-1</v>
      </c>
    </row>
    <row r="5839" spans="1:12">
      <c r="A5839" s="183" t="s">
        <v>11585</v>
      </c>
      <c r="L5839">
        <v>-1</v>
      </c>
    </row>
    <row r="5840" spans="1:12">
      <c r="A5840" s="183" t="s">
        <v>11586</v>
      </c>
      <c r="L5840">
        <v>-1</v>
      </c>
    </row>
    <row r="5841" spans="1:12">
      <c r="A5841" s="183" t="s">
        <v>11587</v>
      </c>
      <c r="L5841">
        <v>-1</v>
      </c>
    </row>
    <row r="5842" spans="1:12">
      <c r="A5842" s="183" t="s">
        <v>11588</v>
      </c>
      <c r="L5842">
        <v>-1</v>
      </c>
    </row>
    <row r="5843" spans="1:12">
      <c r="A5843" s="183" t="s">
        <v>11589</v>
      </c>
      <c r="L5843">
        <v>-1</v>
      </c>
    </row>
    <row r="5844" spans="1:12">
      <c r="A5844" s="183" t="s">
        <v>11589</v>
      </c>
      <c r="L5844">
        <v>-1</v>
      </c>
    </row>
    <row r="5845" spans="1:12">
      <c r="A5845" s="183" t="s">
        <v>11590</v>
      </c>
      <c r="L5845">
        <v>-1</v>
      </c>
    </row>
    <row r="5846" spans="1:12">
      <c r="A5846" s="183" t="s">
        <v>11590</v>
      </c>
      <c r="L5846">
        <v>-1</v>
      </c>
    </row>
    <row r="5847" spans="1:12">
      <c r="A5847" s="183" t="s">
        <v>11591</v>
      </c>
      <c r="L5847">
        <v>-1</v>
      </c>
    </row>
    <row r="5848" spans="1:12">
      <c r="A5848" s="183" t="s">
        <v>11591</v>
      </c>
      <c r="L5848">
        <v>-1</v>
      </c>
    </row>
    <row r="5849" spans="1:12">
      <c r="A5849" s="183" t="s">
        <v>11592</v>
      </c>
      <c r="L5849">
        <v>-1</v>
      </c>
    </row>
    <row r="5850" spans="1:12">
      <c r="A5850" s="183" t="s">
        <v>11593</v>
      </c>
      <c r="L5850">
        <v>-1</v>
      </c>
    </row>
    <row r="5851" spans="1:12">
      <c r="A5851" s="183" t="s">
        <v>11593</v>
      </c>
      <c r="L5851">
        <v>-1</v>
      </c>
    </row>
    <row r="5852" spans="1:12">
      <c r="A5852" s="183" t="s">
        <v>11594</v>
      </c>
      <c r="L5852">
        <v>-1</v>
      </c>
    </row>
    <row r="5853" spans="1:12">
      <c r="A5853" s="183" t="s">
        <v>11594</v>
      </c>
      <c r="L5853">
        <v>-1</v>
      </c>
    </row>
    <row r="5854" spans="1:12">
      <c r="A5854" s="183" t="s">
        <v>11595</v>
      </c>
      <c r="L5854">
        <v>-1</v>
      </c>
    </row>
    <row r="5855" spans="1:12">
      <c r="A5855" s="183" t="s">
        <v>11596</v>
      </c>
      <c r="L5855">
        <v>-1</v>
      </c>
    </row>
    <row r="5856" spans="1:12">
      <c r="A5856" s="183" t="s">
        <v>11596</v>
      </c>
      <c r="L5856">
        <v>-1</v>
      </c>
    </row>
    <row r="5857" spans="1:12">
      <c r="A5857" s="183" t="s">
        <v>11597</v>
      </c>
      <c r="L5857">
        <v>-1</v>
      </c>
    </row>
    <row r="5858" spans="1:12">
      <c r="A5858" s="183" t="s">
        <v>11597</v>
      </c>
      <c r="L5858">
        <v>-1</v>
      </c>
    </row>
    <row r="5859" spans="1:12">
      <c r="A5859" s="183" t="s">
        <v>11598</v>
      </c>
      <c r="L5859">
        <v>-1</v>
      </c>
    </row>
    <row r="5860" spans="1:12">
      <c r="A5860" s="183" t="s">
        <v>11599</v>
      </c>
      <c r="L5860">
        <v>-1</v>
      </c>
    </row>
    <row r="5861" spans="1:12">
      <c r="A5861" s="183" t="s">
        <v>11600</v>
      </c>
      <c r="L5861">
        <v>-1</v>
      </c>
    </row>
    <row r="5862" spans="1:12">
      <c r="A5862" s="183" t="s">
        <v>11600</v>
      </c>
      <c r="L5862">
        <v>-1</v>
      </c>
    </row>
    <row r="5863" spans="1:12">
      <c r="A5863" s="183" t="s">
        <v>11601</v>
      </c>
      <c r="L5863">
        <v>-1</v>
      </c>
    </row>
    <row r="5864" spans="1:12">
      <c r="A5864" s="183" t="s">
        <v>11602</v>
      </c>
      <c r="L5864">
        <v>-1</v>
      </c>
    </row>
    <row r="5865" spans="1:12">
      <c r="A5865" s="183" t="s">
        <v>11603</v>
      </c>
      <c r="L5865">
        <v>-1</v>
      </c>
    </row>
    <row r="5866" spans="1:12">
      <c r="A5866" s="183" t="s">
        <v>11604</v>
      </c>
      <c r="L5866">
        <v>-1</v>
      </c>
    </row>
    <row r="5867" spans="1:12">
      <c r="A5867" s="183" t="s">
        <v>11604</v>
      </c>
      <c r="L5867">
        <v>-1</v>
      </c>
    </row>
    <row r="5868" spans="1:12">
      <c r="A5868" s="183" t="s">
        <v>11605</v>
      </c>
      <c r="L5868">
        <v>-1</v>
      </c>
    </row>
    <row r="5869" spans="1:12">
      <c r="A5869" s="183" t="s">
        <v>11605</v>
      </c>
      <c r="L5869">
        <v>-1</v>
      </c>
    </row>
    <row r="5870" spans="1:12">
      <c r="A5870" s="183" t="s">
        <v>11606</v>
      </c>
      <c r="L5870">
        <v>-1</v>
      </c>
    </row>
    <row r="5871" spans="1:12">
      <c r="A5871" s="183" t="s">
        <v>11606</v>
      </c>
      <c r="L5871">
        <v>-1</v>
      </c>
    </row>
    <row r="5872" spans="1:12">
      <c r="A5872" s="183" t="s">
        <v>11607</v>
      </c>
      <c r="L5872">
        <v>-1</v>
      </c>
    </row>
    <row r="5873" spans="1:12">
      <c r="A5873" s="183" t="s">
        <v>11607</v>
      </c>
      <c r="L5873">
        <v>-1</v>
      </c>
    </row>
    <row r="5874" spans="1:12">
      <c r="A5874" s="183" t="s">
        <v>11608</v>
      </c>
      <c r="L5874">
        <v>-1</v>
      </c>
    </row>
    <row r="5875" spans="1:12">
      <c r="A5875" s="183" t="s">
        <v>11608</v>
      </c>
      <c r="L5875">
        <v>-1</v>
      </c>
    </row>
    <row r="5876" spans="1:12">
      <c r="A5876" s="183" t="s">
        <v>11609</v>
      </c>
      <c r="L5876">
        <v>-1</v>
      </c>
    </row>
    <row r="5877" spans="1:12">
      <c r="A5877" s="183" t="s">
        <v>11609</v>
      </c>
      <c r="L5877">
        <v>-1</v>
      </c>
    </row>
    <row r="5878" spans="1:12">
      <c r="A5878" s="183" t="s">
        <v>11610</v>
      </c>
      <c r="L5878">
        <v>-2</v>
      </c>
    </row>
    <row r="5879" spans="1:12">
      <c r="A5879" s="183" t="s">
        <v>11610</v>
      </c>
      <c r="L5879">
        <v>-1</v>
      </c>
    </row>
    <row r="5880" spans="1:12">
      <c r="A5880" s="183" t="s">
        <v>11611</v>
      </c>
      <c r="L5880">
        <v>-3</v>
      </c>
    </row>
    <row r="5881" spans="1:12">
      <c r="A5881" s="183" t="s">
        <v>11611</v>
      </c>
      <c r="L5881">
        <v>-1</v>
      </c>
    </row>
    <row r="5882" spans="1:12">
      <c r="A5882" s="183" t="s">
        <v>11612</v>
      </c>
      <c r="L5882">
        <v>-1</v>
      </c>
    </row>
    <row r="5883" spans="1:12">
      <c r="A5883" s="183" t="s">
        <v>11612</v>
      </c>
      <c r="L5883">
        <v>-1</v>
      </c>
    </row>
    <row r="5884" spans="1:12">
      <c r="A5884" s="183" t="s">
        <v>11613</v>
      </c>
      <c r="L5884">
        <v>-2</v>
      </c>
    </row>
    <row r="5885" spans="1:12">
      <c r="A5885" s="183" t="s">
        <v>11613</v>
      </c>
      <c r="L5885">
        <v>-1</v>
      </c>
    </row>
    <row r="5886" spans="1:12">
      <c r="A5886" s="183" t="s">
        <v>11614</v>
      </c>
      <c r="L5886">
        <v>-2</v>
      </c>
    </row>
    <row r="5887" spans="1:12">
      <c r="A5887" s="183" t="s">
        <v>11614</v>
      </c>
      <c r="L5887">
        <v>-1</v>
      </c>
    </row>
    <row r="5888" spans="1:12">
      <c r="A5888" s="183" t="s">
        <v>11615</v>
      </c>
      <c r="L5888">
        <v>-1</v>
      </c>
    </row>
    <row r="5889" spans="1:12">
      <c r="A5889" s="183" t="s">
        <v>11615</v>
      </c>
      <c r="L5889">
        <v>-1</v>
      </c>
    </row>
    <row r="5890" spans="1:12">
      <c r="A5890" s="183" t="s">
        <v>11616</v>
      </c>
      <c r="L5890">
        <v>-3</v>
      </c>
    </row>
    <row r="5891" spans="1:12">
      <c r="A5891" s="183" t="s">
        <v>11616</v>
      </c>
      <c r="L5891">
        <v>-2</v>
      </c>
    </row>
    <row r="5892" spans="1:12">
      <c r="A5892" s="183" t="s">
        <v>11617</v>
      </c>
      <c r="L5892">
        <v>-3</v>
      </c>
    </row>
    <row r="5893" spans="1:12">
      <c r="A5893" s="183" t="s">
        <v>11617</v>
      </c>
      <c r="L5893">
        <v>-2</v>
      </c>
    </row>
    <row r="5894" spans="1:12">
      <c r="A5894" s="183" t="s">
        <v>11618</v>
      </c>
      <c r="L5894">
        <v>-3</v>
      </c>
    </row>
    <row r="5895" spans="1:12">
      <c r="A5895" s="183" t="s">
        <v>11618</v>
      </c>
      <c r="L5895">
        <v>-2</v>
      </c>
    </row>
    <row r="5896" spans="1:12">
      <c r="A5896" s="183" t="s">
        <v>11619</v>
      </c>
      <c r="L5896">
        <v>-3</v>
      </c>
    </row>
    <row r="5897" spans="1:12">
      <c r="A5897" s="183" t="s">
        <v>11619</v>
      </c>
      <c r="L5897">
        <v>-2</v>
      </c>
    </row>
    <row r="5898" spans="1:12">
      <c r="A5898" s="183" t="s">
        <v>11620</v>
      </c>
      <c r="L5898">
        <v>-3</v>
      </c>
    </row>
    <row r="5899" spans="1:12">
      <c r="A5899" s="183" t="s">
        <v>11620</v>
      </c>
      <c r="L5899">
        <v>-2</v>
      </c>
    </row>
    <row r="5900" spans="1:12">
      <c r="A5900" s="183" t="s">
        <v>11621</v>
      </c>
      <c r="L5900">
        <v>-3</v>
      </c>
    </row>
    <row r="5901" spans="1:12">
      <c r="A5901" s="183" t="s">
        <v>11621</v>
      </c>
      <c r="L5901">
        <v>-2</v>
      </c>
    </row>
    <row r="5902" spans="1:12">
      <c r="A5902" s="183" t="s">
        <v>11622</v>
      </c>
      <c r="L5902">
        <v>-3</v>
      </c>
    </row>
    <row r="5903" spans="1:12">
      <c r="A5903" s="183" t="s">
        <v>11622</v>
      </c>
      <c r="L5903">
        <v>-1</v>
      </c>
    </row>
    <row r="5904" spans="1:12">
      <c r="A5904" s="183" t="s">
        <v>11623</v>
      </c>
      <c r="L5904">
        <v>-3</v>
      </c>
    </row>
    <row r="5905" spans="1:12">
      <c r="A5905" s="183" t="s">
        <v>11623</v>
      </c>
      <c r="L5905">
        <v>-1</v>
      </c>
    </row>
    <row r="5906" spans="1:12">
      <c r="A5906" s="183" t="s">
        <v>11624</v>
      </c>
      <c r="L5906">
        <v>-3</v>
      </c>
    </row>
    <row r="5907" spans="1:12">
      <c r="A5907" s="183" t="s">
        <v>11624</v>
      </c>
      <c r="L5907">
        <v>-1</v>
      </c>
    </row>
    <row r="5908" spans="1:12">
      <c r="A5908" s="183" t="s">
        <v>11625</v>
      </c>
      <c r="L5908">
        <v>-3</v>
      </c>
    </row>
    <row r="5909" spans="1:12">
      <c r="A5909" s="183" t="s">
        <v>11625</v>
      </c>
      <c r="L5909">
        <v>-1</v>
      </c>
    </row>
    <row r="5910" spans="1:12">
      <c r="A5910" s="183" t="s">
        <v>11626</v>
      </c>
      <c r="L5910">
        <v>-3</v>
      </c>
    </row>
    <row r="5911" spans="1:12">
      <c r="A5911" s="183" t="s">
        <v>11626</v>
      </c>
      <c r="L5911">
        <v>-1</v>
      </c>
    </row>
    <row r="5912" spans="1:12">
      <c r="A5912" s="183" t="s">
        <v>11627</v>
      </c>
      <c r="L5912">
        <v>-3</v>
      </c>
    </row>
    <row r="5913" spans="1:12">
      <c r="A5913" s="183" t="s">
        <v>11627</v>
      </c>
      <c r="L5913">
        <v>-1</v>
      </c>
    </row>
    <row r="5914" spans="1:12">
      <c r="A5914" s="183" t="s">
        <v>11628</v>
      </c>
      <c r="L5914">
        <v>-3</v>
      </c>
    </row>
    <row r="5915" spans="1:12">
      <c r="A5915" s="183" t="s">
        <v>11628</v>
      </c>
      <c r="L5915">
        <v>-1</v>
      </c>
    </row>
    <row r="5916" spans="1:12">
      <c r="A5916" s="183" t="s">
        <v>11629</v>
      </c>
      <c r="L5916">
        <v>-3</v>
      </c>
    </row>
    <row r="5917" spans="1:12">
      <c r="A5917" s="183" t="s">
        <v>11629</v>
      </c>
      <c r="L5917">
        <v>-1</v>
      </c>
    </row>
    <row r="5918" spans="1:12">
      <c r="A5918" s="183" t="s">
        <v>11630</v>
      </c>
      <c r="L5918">
        <v>-3</v>
      </c>
    </row>
    <row r="5919" spans="1:12">
      <c r="A5919" s="183" t="s">
        <v>11630</v>
      </c>
      <c r="L5919">
        <v>-1</v>
      </c>
    </row>
    <row r="5920" spans="1:12">
      <c r="A5920" s="183" t="s">
        <v>11631</v>
      </c>
      <c r="L5920">
        <v>-3</v>
      </c>
    </row>
    <row r="5921" spans="1:12">
      <c r="A5921" s="183" t="s">
        <v>11631</v>
      </c>
      <c r="L5921">
        <v>-1</v>
      </c>
    </row>
    <row r="5922" spans="1:12">
      <c r="A5922" s="183" t="s">
        <v>11632</v>
      </c>
      <c r="L5922">
        <v>-3</v>
      </c>
    </row>
    <row r="5923" spans="1:12">
      <c r="A5923" s="183" t="s">
        <v>11632</v>
      </c>
      <c r="L5923">
        <v>-1</v>
      </c>
    </row>
    <row r="5924" spans="1:12">
      <c r="A5924" s="183" t="s">
        <v>11633</v>
      </c>
      <c r="L5924">
        <v>-3</v>
      </c>
    </row>
    <row r="5925" spans="1:12">
      <c r="A5925" s="183" t="s">
        <v>11633</v>
      </c>
      <c r="L5925">
        <v>-1</v>
      </c>
    </row>
    <row r="5926" spans="1:12">
      <c r="A5926" s="183" t="s">
        <v>11634</v>
      </c>
      <c r="L5926">
        <v>-3</v>
      </c>
    </row>
    <row r="5927" spans="1:12">
      <c r="A5927" s="183" t="s">
        <v>11634</v>
      </c>
      <c r="L5927">
        <v>-1</v>
      </c>
    </row>
    <row r="5928" spans="1:12">
      <c r="A5928" s="183" t="s">
        <v>11635</v>
      </c>
      <c r="L5928">
        <v>-3</v>
      </c>
    </row>
    <row r="5929" spans="1:12">
      <c r="A5929" s="183" t="s">
        <v>11635</v>
      </c>
      <c r="L5929">
        <v>-1</v>
      </c>
    </row>
    <row r="5930" spans="1:12">
      <c r="A5930" s="183" t="s">
        <v>11636</v>
      </c>
      <c r="L5930">
        <v>-3</v>
      </c>
    </row>
    <row r="5931" spans="1:12">
      <c r="A5931" s="183" t="s">
        <v>11636</v>
      </c>
      <c r="L5931">
        <v>-1</v>
      </c>
    </row>
    <row r="5932" spans="1:12">
      <c r="A5932" s="183" t="s">
        <v>11637</v>
      </c>
      <c r="L5932">
        <v>-3</v>
      </c>
    </row>
    <row r="5933" spans="1:12">
      <c r="A5933" s="183" t="s">
        <v>11637</v>
      </c>
      <c r="L5933">
        <v>-1</v>
      </c>
    </row>
    <row r="5934" spans="1:12">
      <c r="A5934" s="183" t="s">
        <v>11638</v>
      </c>
      <c r="L5934">
        <v>-3</v>
      </c>
    </row>
    <row r="5935" spans="1:12">
      <c r="A5935" s="183" t="s">
        <v>11638</v>
      </c>
      <c r="L5935">
        <v>-1</v>
      </c>
    </row>
    <row r="5936" spans="1:12">
      <c r="A5936" s="183" t="s">
        <v>11639</v>
      </c>
      <c r="L5936">
        <v>-3</v>
      </c>
    </row>
    <row r="5937" spans="1:12">
      <c r="A5937" s="183" t="s">
        <v>11639</v>
      </c>
      <c r="L5937">
        <v>-1</v>
      </c>
    </row>
    <row r="5938" spans="1:12">
      <c r="A5938" s="183" t="s">
        <v>11640</v>
      </c>
      <c r="L5938">
        <v>-1</v>
      </c>
    </row>
    <row r="5939" spans="1:12">
      <c r="A5939" s="183" t="s">
        <v>11640</v>
      </c>
      <c r="L5939">
        <v>-1</v>
      </c>
    </row>
    <row r="5940" spans="1:12">
      <c r="A5940" s="183" t="s">
        <v>11641</v>
      </c>
      <c r="L5940">
        <v>-1</v>
      </c>
    </row>
    <row r="5941" spans="1:12">
      <c r="A5941" s="183" t="s">
        <v>11641</v>
      </c>
      <c r="L5941">
        <v>-1</v>
      </c>
    </row>
    <row r="5942" spans="1:12">
      <c r="A5942" s="183" t="s">
        <v>11642</v>
      </c>
      <c r="L5942">
        <v>-1</v>
      </c>
    </row>
    <row r="5943" spans="1:12">
      <c r="A5943" s="183" t="s">
        <v>11642</v>
      </c>
      <c r="L5943">
        <v>-1</v>
      </c>
    </row>
    <row r="5944" spans="1:12">
      <c r="A5944" s="183" t="s">
        <v>11643</v>
      </c>
      <c r="L5944">
        <v>-1</v>
      </c>
    </row>
    <row r="5945" spans="1:12">
      <c r="A5945" s="183" t="s">
        <v>11643</v>
      </c>
      <c r="L5945">
        <v>-1</v>
      </c>
    </row>
    <row r="5946" spans="1:12">
      <c r="A5946" s="183" t="s">
        <v>11644</v>
      </c>
      <c r="L5946">
        <v>-1</v>
      </c>
    </row>
    <row r="5947" spans="1:12">
      <c r="A5947" s="183" t="s">
        <v>11644</v>
      </c>
      <c r="L5947">
        <v>-1</v>
      </c>
    </row>
    <row r="5948" spans="1:12">
      <c r="A5948" s="183" t="s">
        <v>11645</v>
      </c>
      <c r="L5948">
        <v>-1</v>
      </c>
    </row>
    <row r="5949" spans="1:12">
      <c r="A5949" s="183" t="s">
        <v>11645</v>
      </c>
      <c r="L5949">
        <v>-1</v>
      </c>
    </row>
    <row r="5950" spans="1:12">
      <c r="A5950" s="183" t="s">
        <v>11646</v>
      </c>
      <c r="L5950">
        <v>-1</v>
      </c>
    </row>
    <row r="5951" spans="1:12">
      <c r="A5951" s="183" t="s">
        <v>11647</v>
      </c>
      <c r="L5951">
        <v>-1</v>
      </c>
    </row>
    <row r="5952" spans="1:12">
      <c r="A5952" s="183" t="s">
        <v>11648</v>
      </c>
      <c r="L5952">
        <v>-1</v>
      </c>
    </row>
    <row r="5953" spans="1:12">
      <c r="A5953" s="183" t="s">
        <v>11649</v>
      </c>
      <c r="L5953">
        <v>-1</v>
      </c>
    </row>
    <row r="5954" spans="1:12">
      <c r="A5954" s="183" t="s">
        <v>11650</v>
      </c>
      <c r="L5954">
        <v>-1</v>
      </c>
    </row>
    <row r="5955" spans="1:12">
      <c r="A5955" s="183" t="s">
        <v>11651</v>
      </c>
      <c r="L5955">
        <v>-1</v>
      </c>
    </row>
    <row r="5956" spans="1:12">
      <c r="A5956" s="183" t="s">
        <v>11652</v>
      </c>
      <c r="L5956">
        <v>-1</v>
      </c>
    </row>
    <row r="5957" spans="1:12">
      <c r="A5957" s="183" t="s">
        <v>11653</v>
      </c>
      <c r="L5957">
        <v>-1</v>
      </c>
    </row>
    <row r="5958" spans="1:12">
      <c r="A5958" s="183" t="s">
        <v>11654</v>
      </c>
      <c r="L5958">
        <v>-1</v>
      </c>
    </row>
    <row r="5959" spans="1:12">
      <c r="A5959" s="183" t="s">
        <v>11655</v>
      </c>
      <c r="L5959">
        <v>-1</v>
      </c>
    </row>
    <row r="5960" spans="1:12">
      <c r="A5960" s="183" t="s">
        <v>11656</v>
      </c>
      <c r="L5960">
        <v>-1</v>
      </c>
    </row>
    <row r="5961" spans="1:12">
      <c r="A5961" s="183" t="s">
        <v>11657</v>
      </c>
      <c r="L5961">
        <v>-1</v>
      </c>
    </row>
    <row r="5962" spans="1:12">
      <c r="A5962" s="183" t="s">
        <v>11658</v>
      </c>
      <c r="L5962">
        <v>-1</v>
      </c>
    </row>
    <row r="5963" spans="1:12">
      <c r="A5963" s="183" t="s">
        <v>11659</v>
      </c>
      <c r="L5963">
        <v>-1</v>
      </c>
    </row>
    <row r="5964" spans="1:12">
      <c r="A5964" s="183" t="s">
        <v>11660</v>
      </c>
      <c r="L5964">
        <v>-1</v>
      </c>
    </row>
    <row r="5965" spans="1:12">
      <c r="A5965" s="183" t="s">
        <v>11661</v>
      </c>
      <c r="L5965">
        <v>-1</v>
      </c>
    </row>
    <row r="5966" spans="1:12">
      <c r="A5966" s="183" t="s">
        <v>11662</v>
      </c>
      <c r="L5966">
        <v>-1</v>
      </c>
    </row>
    <row r="5967" spans="1:12">
      <c r="A5967" s="183" t="s">
        <v>11663</v>
      </c>
      <c r="L5967">
        <v>-1</v>
      </c>
    </row>
    <row r="5968" spans="1:12">
      <c r="A5968" s="183" t="s">
        <v>11664</v>
      </c>
      <c r="L5968">
        <v>-1</v>
      </c>
    </row>
    <row r="5969" spans="1:12">
      <c r="A5969" s="183" t="s">
        <v>11665</v>
      </c>
      <c r="L5969">
        <v>-1</v>
      </c>
    </row>
    <row r="5970" spans="1:12">
      <c r="A5970" s="183" t="s">
        <v>11666</v>
      </c>
      <c r="L5970">
        <v>-1</v>
      </c>
    </row>
    <row r="5971" spans="1:12">
      <c r="A5971" s="183" t="s">
        <v>11667</v>
      </c>
      <c r="L5971">
        <v>-10</v>
      </c>
    </row>
    <row r="5972" spans="1:12">
      <c r="A5972" s="183" t="s">
        <v>11668</v>
      </c>
      <c r="L5972">
        <v>-10</v>
      </c>
    </row>
    <row r="5973" spans="1:12">
      <c r="A5973" s="183" t="s">
        <v>11669</v>
      </c>
      <c r="L5973">
        <v>-10</v>
      </c>
    </row>
    <row r="5974" spans="1:12">
      <c r="A5974" s="183" t="s">
        <v>11670</v>
      </c>
      <c r="L5974">
        <v>-10</v>
      </c>
    </row>
    <row r="5975" spans="1:12">
      <c r="A5975" s="183" t="s">
        <v>11671</v>
      </c>
      <c r="L5975">
        <v>-5</v>
      </c>
    </row>
    <row r="5976" spans="1:12">
      <c r="A5976" s="183" t="s">
        <v>11672</v>
      </c>
      <c r="L5976">
        <v>-10</v>
      </c>
    </row>
    <row r="5977" spans="1:12">
      <c r="A5977" s="183" t="s">
        <v>11673</v>
      </c>
      <c r="L5977">
        <v>-5</v>
      </c>
    </row>
    <row r="5978" spans="1:12">
      <c r="A5978" s="183" t="s">
        <v>11674</v>
      </c>
      <c r="L5978">
        <v>-10</v>
      </c>
    </row>
    <row r="5979" spans="1:12">
      <c r="A5979" s="183" t="s">
        <v>11675</v>
      </c>
      <c r="L5979">
        <v>-5</v>
      </c>
    </row>
    <row r="5980" spans="1:12">
      <c r="A5980" s="183" t="s">
        <v>11676</v>
      </c>
      <c r="L5980">
        <v>-10</v>
      </c>
    </row>
    <row r="5981" spans="1:12">
      <c r="A5981" s="183" t="s">
        <v>11677</v>
      </c>
      <c r="L5981">
        <v>-10</v>
      </c>
    </row>
    <row r="5982" spans="1:12">
      <c r="A5982" s="183" t="s">
        <v>11678</v>
      </c>
      <c r="L5982">
        <v>-10</v>
      </c>
    </row>
    <row r="5983" spans="1:12">
      <c r="A5983" s="183" t="s">
        <v>11679</v>
      </c>
      <c r="L5983">
        <v>-10</v>
      </c>
    </row>
    <row r="5984" spans="1:12">
      <c r="A5984" s="183" t="s">
        <v>11680</v>
      </c>
      <c r="L5984">
        <v>-10</v>
      </c>
    </row>
    <row r="5985" spans="1:12">
      <c r="A5985" s="183" t="s">
        <v>11681</v>
      </c>
      <c r="L5985">
        <v>-10</v>
      </c>
    </row>
    <row r="5986" spans="1:12">
      <c r="A5986" s="183" t="s">
        <v>11682</v>
      </c>
      <c r="L5986">
        <v>-10</v>
      </c>
    </row>
    <row r="5987" spans="1:12">
      <c r="A5987" s="183" t="s">
        <v>11683</v>
      </c>
      <c r="L5987">
        <v>-10</v>
      </c>
    </row>
    <row r="5988" spans="1:12">
      <c r="A5988" s="183" t="s">
        <v>11684</v>
      </c>
      <c r="L5988">
        <v>-10</v>
      </c>
    </row>
    <row r="5989" spans="1:12">
      <c r="A5989" s="183" t="s">
        <v>11685</v>
      </c>
      <c r="L5989">
        <v>-20</v>
      </c>
    </row>
    <row r="5990" spans="1:12">
      <c r="A5990" s="183" t="s">
        <v>11686</v>
      </c>
      <c r="L5990">
        <v>-5</v>
      </c>
    </row>
    <row r="5991" spans="1:12">
      <c r="A5991" s="183" t="s">
        <v>11687</v>
      </c>
      <c r="L5991">
        <v>-5</v>
      </c>
    </row>
    <row r="5992" spans="1:12">
      <c r="A5992" s="183" t="s">
        <v>11688</v>
      </c>
      <c r="L5992">
        <v>-5</v>
      </c>
    </row>
    <row r="5993" spans="1:12">
      <c r="A5993" s="183" t="s">
        <v>11689</v>
      </c>
      <c r="L5993">
        <v>-5</v>
      </c>
    </row>
    <row r="5994" spans="1:12">
      <c r="A5994" s="183" t="s">
        <v>11690</v>
      </c>
      <c r="L5994">
        <v>-5</v>
      </c>
    </row>
    <row r="5995" spans="1:12">
      <c r="A5995" s="183" t="s">
        <v>11691</v>
      </c>
      <c r="L5995">
        <v>-5</v>
      </c>
    </row>
    <row r="5996" spans="1:12">
      <c r="A5996" s="183" t="s">
        <v>11692</v>
      </c>
      <c r="L5996">
        <v>-5</v>
      </c>
    </row>
    <row r="5997" spans="1:12">
      <c r="A5997" s="183" t="s">
        <v>11693</v>
      </c>
      <c r="L5997">
        <v>-5</v>
      </c>
    </row>
    <row r="5998" spans="1:12">
      <c r="A5998" s="183" t="s">
        <v>11694</v>
      </c>
      <c r="L5998">
        <v>-5</v>
      </c>
    </row>
    <row r="5999" spans="1:12">
      <c r="A5999" s="183" t="s">
        <v>11695</v>
      </c>
      <c r="L5999">
        <v>-6</v>
      </c>
    </row>
    <row r="6000" spans="1:12">
      <c r="A6000" s="183" t="s">
        <v>11696</v>
      </c>
      <c r="L6000">
        <v>-5</v>
      </c>
    </row>
    <row r="6001" spans="1:12">
      <c r="A6001" s="183" t="s">
        <v>11697</v>
      </c>
      <c r="L6001">
        <v>-10</v>
      </c>
    </row>
    <row r="6002" spans="1:12">
      <c r="A6002" s="183" t="s">
        <v>11698</v>
      </c>
      <c r="L6002">
        <v>-10</v>
      </c>
    </row>
    <row r="6003" spans="1:12">
      <c r="A6003" s="183" t="s">
        <v>11699</v>
      </c>
      <c r="L6003">
        <v>-10</v>
      </c>
    </row>
    <row r="6004" spans="1:12">
      <c r="A6004" s="183" t="s">
        <v>11700</v>
      </c>
      <c r="L6004">
        <v>-10</v>
      </c>
    </row>
    <row r="6005" spans="1:12">
      <c r="A6005" s="183" t="s">
        <v>11701</v>
      </c>
      <c r="L6005">
        <v>-10</v>
      </c>
    </row>
    <row r="6006" spans="1:12">
      <c r="A6006" s="183" t="s">
        <v>11702</v>
      </c>
      <c r="L6006">
        <v>-5</v>
      </c>
    </row>
    <row r="6007" spans="1:12">
      <c r="A6007" s="183" t="s">
        <v>11703</v>
      </c>
      <c r="L6007">
        <v>-5</v>
      </c>
    </row>
    <row r="6008" spans="1:12">
      <c r="A6008" s="183" t="s">
        <v>11704</v>
      </c>
      <c r="L6008">
        <v>-5</v>
      </c>
    </row>
    <row r="6009" spans="1:12">
      <c r="A6009" s="183" t="s">
        <v>11705</v>
      </c>
      <c r="L6009">
        <v>-5</v>
      </c>
    </row>
    <row r="6010" spans="1:12">
      <c r="A6010" s="183" t="s">
        <v>11706</v>
      </c>
      <c r="L6010">
        <v>-5</v>
      </c>
    </row>
    <row r="6011" spans="1:12">
      <c r="A6011" s="183" t="s">
        <v>11707</v>
      </c>
      <c r="L6011">
        <v>-5</v>
      </c>
    </row>
    <row r="6012" spans="1:12">
      <c r="A6012" s="183" t="s">
        <v>11708</v>
      </c>
      <c r="L6012">
        <v>-5</v>
      </c>
    </row>
    <row r="6013" spans="1:12">
      <c r="A6013" s="183" t="s">
        <v>11709</v>
      </c>
      <c r="L6013">
        <v>-5</v>
      </c>
    </row>
    <row r="6014" spans="1:12">
      <c r="A6014" s="183" t="s">
        <v>11710</v>
      </c>
      <c r="L6014">
        <v>-5</v>
      </c>
    </row>
    <row r="6015" spans="1:12">
      <c r="A6015" s="183" t="s">
        <v>11711</v>
      </c>
      <c r="L6015">
        <v>-5</v>
      </c>
    </row>
    <row r="6016" spans="1:12">
      <c r="A6016" s="183" t="s">
        <v>11712</v>
      </c>
      <c r="L6016">
        <v>-5</v>
      </c>
    </row>
    <row r="6017" spans="1:12">
      <c r="A6017" s="183" t="s">
        <v>11713</v>
      </c>
      <c r="L6017">
        <v>-5</v>
      </c>
    </row>
    <row r="6018" spans="1:12">
      <c r="A6018" s="183" t="s">
        <v>11714</v>
      </c>
      <c r="L6018">
        <v>-10</v>
      </c>
    </row>
    <row r="6019" spans="1:12">
      <c r="A6019" s="183" t="s">
        <v>11715</v>
      </c>
      <c r="L6019">
        <v>-10</v>
      </c>
    </row>
    <row r="6020" spans="1:12">
      <c r="A6020" s="183" t="s">
        <v>11716</v>
      </c>
      <c r="L6020">
        <v>-5</v>
      </c>
    </row>
    <row r="6021" spans="1:12">
      <c r="A6021" s="183" t="s">
        <v>11717</v>
      </c>
      <c r="L6021">
        <v>-5</v>
      </c>
    </row>
    <row r="6022" spans="1:12">
      <c r="A6022" s="183" t="s">
        <v>11718</v>
      </c>
      <c r="L6022">
        <v>-9</v>
      </c>
    </row>
    <row r="6023" spans="1:12">
      <c r="A6023" s="183" t="s">
        <v>11719</v>
      </c>
      <c r="L6023">
        <v>-5</v>
      </c>
    </row>
    <row r="6024" spans="1:12">
      <c r="A6024" s="183" t="s">
        <v>11720</v>
      </c>
      <c r="L6024">
        <v>-5</v>
      </c>
    </row>
    <row r="6025" spans="1:12">
      <c r="A6025" s="183" t="s">
        <v>11721</v>
      </c>
      <c r="L6025">
        <v>-5</v>
      </c>
    </row>
    <row r="6026" spans="1:12">
      <c r="A6026" s="183" t="s">
        <v>11722</v>
      </c>
      <c r="L6026">
        <v>-10</v>
      </c>
    </row>
    <row r="6027" spans="1:12">
      <c r="A6027" s="183" t="s">
        <v>11723</v>
      </c>
      <c r="L6027">
        <v>-5</v>
      </c>
    </row>
    <row r="6028" spans="1:12">
      <c r="A6028" s="183" t="s">
        <v>11724</v>
      </c>
      <c r="L6028">
        <v>-5</v>
      </c>
    </row>
    <row r="6029" spans="1:12">
      <c r="A6029" s="183" t="s">
        <v>11725</v>
      </c>
      <c r="L6029">
        <v>-5</v>
      </c>
    </row>
    <row r="6030" spans="1:12">
      <c r="A6030" s="183" t="s">
        <v>11726</v>
      </c>
      <c r="L6030">
        <v>-5</v>
      </c>
    </row>
    <row r="6031" spans="1:12">
      <c r="A6031" s="183" t="s">
        <v>11727</v>
      </c>
      <c r="L6031">
        <v>-5</v>
      </c>
    </row>
    <row r="6032" spans="1:12">
      <c r="A6032" s="183" t="s">
        <v>11728</v>
      </c>
      <c r="L6032">
        <v>-5</v>
      </c>
    </row>
    <row r="6033" spans="1:12">
      <c r="A6033" s="183" t="s">
        <v>11729</v>
      </c>
      <c r="L6033">
        <v>-5</v>
      </c>
    </row>
    <row r="6034" spans="1:12">
      <c r="A6034" s="183" t="s">
        <v>11730</v>
      </c>
      <c r="L6034">
        <v>-5</v>
      </c>
    </row>
    <row r="6035" spans="1:12">
      <c r="A6035" s="183" t="s">
        <v>11731</v>
      </c>
      <c r="L6035">
        <v>-5</v>
      </c>
    </row>
    <row r="6036" spans="1:12">
      <c r="A6036" s="183" t="s">
        <v>11732</v>
      </c>
      <c r="L6036">
        <v>-5</v>
      </c>
    </row>
    <row r="6037" spans="1:12">
      <c r="A6037" s="183" t="s">
        <v>11733</v>
      </c>
      <c r="L6037">
        <v>-40</v>
      </c>
    </row>
    <row r="6038" spans="1:12">
      <c r="A6038" s="183" t="s">
        <v>11734</v>
      </c>
      <c r="L6038">
        <v>-10</v>
      </c>
    </row>
    <row r="6039" spans="1:12">
      <c r="A6039" s="183" t="s">
        <v>11735</v>
      </c>
      <c r="L6039">
        <v>-10</v>
      </c>
    </row>
    <row r="6040" spans="1:12">
      <c r="A6040" s="183" t="s">
        <v>11736</v>
      </c>
      <c r="L6040">
        <v>-10</v>
      </c>
    </row>
    <row r="6041" spans="1:12">
      <c r="A6041" s="183" t="s">
        <v>9181</v>
      </c>
      <c r="L6041">
        <v>-10</v>
      </c>
    </row>
    <row r="6042" spans="1:12">
      <c r="A6042" s="183" t="s">
        <v>11737</v>
      </c>
      <c r="L6042">
        <v>-10</v>
      </c>
    </row>
    <row r="6043" spans="1:12">
      <c r="A6043" s="183" t="s">
        <v>11738</v>
      </c>
      <c r="L6043">
        <v>-10</v>
      </c>
    </row>
    <row r="6044" spans="1:12">
      <c r="A6044" s="183" t="s">
        <v>11739</v>
      </c>
      <c r="L6044">
        <v>-10</v>
      </c>
    </row>
    <row r="6045" spans="1:12">
      <c r="A6045" s="183" t="s">
        <v>11740</v>
      </c>
      <c r="L6045">
        <v>-20</v>
      </c>
    </row>
    <row r="6046" spans="1:12">
      <c r="A6046" s="183" t="s">
        <v>11741</v>
      </c>
      <c r="L6046">
        <v>-10</v>
      </c>
    </row>
    <row r="6047" spans="1:12">
      <c r="A6047" s="183" t="s">
        <v>9183</v>
      </c>
      <c r="L6047">
        <v>-10</v>
      </c>
    </row>
    <row r="6048" spans="1:12">
      <c r="A6048" s="183" t="s">
        <v>11742</v>
      </c>
      <c r="L6048">
        <v>-10</v>
      </c>
    </row>
    <row r="6049" spans="1:12">
      <c r="A6049" s="183" t="s">
        <v>11743</v>
      </c>
      <c r="L6049">
        <v>-10</v>
      </c>
    </row>
    <row r="6050" spans="1:12">
      <c r="A6050" s="183" t="s">
        <v>11744</v>
      </c>
      <c r="L6050">
        <v>-10</v>
      </c>
    </row>
    <row r="6051" spans="1:12">
      <c r="A6051" s="183" t="s">
        <v>11745</v>
      </c>
      <c r="L6051">
        <v>-10</v>
      </c>
    </row>
    <row r="6052" spans="1:12">
      <c r="A6052" s="183" t="s">
        <v>11746</v>
      </c>
      <c r="L6052">
        <v>-10</v>
      </c>
    </row>
    <row r="6053" spans="1:12">
      <c r="A6053" s="183" t="s">
        <v>11747</v>
      </c>
      <c r="L6053">
        <v>-10</v>
      </c>
    </row>
    <row r="6054" spans="1:12">
      <c r="A6054" s="183" t="s">
        <v>11748</v>
      </c>
      <c r="L6054">
        <v>-10</v>
      </c>
    </row>
    <row r="6055" spans="1:12">
      <c r="A6055" s="183" t="s">
        <v>11749</v>
      </c>
      <c r="L6055">
        <v>-10</v>
      </c>
    </row>
    <row r="6056" spans="1:12">
      <c r="A6056" s="183" t="s">
        <v>11750</v>
      </c>
      <c r="L6056">
        <v>-5</v>
      </c>
    </row>
    <row r="6057" spans="1:12">
      <c r="A6057" s="183" t="s">
        <v>11751</v>
      </c>
      <c r="L6057">
        <v>-5</v>
      </c>
    </row>
    <row r="6058" spans="1:12">
      <c r="A6058" s="183" t="s">
        <v>11752</v>
      </c>
      <c r="L6058">
        <v>-5</v>
      </c>
    </row>
    <row r="6059" spans="1:12">
      <c r="A6059" s="183" t="s">
        <v>11753</v>
      </c>
      <c r="L6059">
        <v>-5</v>
      </c>
    </row>
    <row r="6060" spans="1:12">
      <c r="A6060" s="183" t="s">
        <v>11754</v>
      </c>
      <c r="L6060">
        <v>-5</v>
      </c>
    </row>
    <row r="6061" spans="1:12">
      <c r="A6061" s="183" t="s">
        <v>11755</v>
      </c>
      <c r="L6061">
        <v>-5</v>
      </c>
    </row>
    <row r="6062" spans="1:12">
      <c r="A6062" s="183" t="s">
        <v>11756</v>
      </c>
      <c r="L6062">
        <v>-5</v>
      </c>
    </row>
    <row r="6063" spans="1:12">
      <c r="A6063" s="183" t="s">
        <v>11757</v>
      </c>
      <c r="L6063">
        <v>-5</v>
      </c>
    </row>
    <row r="6064" spans="1:12">
      <c r="A6064" s="183" t="s">
        <v>11758</v>
      </c>
      <c r="L6064">
        <v>-5</v>
      </c>
    </row>
    <row r="6065" spans="1:12">
      <c r="A6065" s="183" t="s">
        <v>11759</v>
      </c>
      <c r="L6065">
        <v>-3</v>
      </c>
    </row>
    <row r="6066" spans="1:12">
      <c r="A6066" s="183" t="s">
        <v>11760</v>
      </c>
      <c r="L6066">
        <v>-2</v>
      </c>
    </row>
    <row r="6067" spans="1:12">
      <c r="A6067" s="183" t="s">
        <v>11761</v>
      </c>
      <c r="L6067">
        <v>-2</v>
      </c>
    </row>
    <row r="6068" spans="1:12">
      <c r="A6068" s="183" t="s">
        <v>11762</v>
      </c>
      <c r="L6068">
        <v>-2</v>
      </c>
    </row>
    <row r="6069" spans="1:12">
      <c r="A6069" s="183" t="s">
        <v>11763</v>
      </c>
      <c r="L6069">
        <v>-2</v>
      </c>
    </row>
    <row r="6070" spans="1:12">
      <c r="A6070" s="183" t="s">
        <v>11764</v>
      </c>
      <c r="L6070">
        <v>-2</v>
      </c>
    </row>
    <row r="6071" spans="1:12">
      <c r="A6071" s="183" t="s">
        <v>11765</v>
      </c>
      <c r="L6071">
        <v>-2</v>
      </c>
    </row>
    <row r="6072" spans="1:12">
      <c r="A6072" s="183" t="s">
        <v>11766</v>
      </c>
      <c r="L6072">
        <v>-2</v>
      </c>
    </row>
    <row r="6073" spans="1:12">
      <c r="A6073" s="183" t="s">
        <v>11767</v>
      </c>
      <c r="L6073">
        <v>-2</v>
      </c>
    </row>
    <row r="6074" spans="1:12">
      <c r="A6074" s="183" t="s">
        <v>11768</v>
      </c>
      <c r="L6074">
        <v>-2</v>
      </c>
    </row>
    <row r="6075" spans="1:12">
      <c r="A6075" s="183" t="s">
        <v>11769</v>
      </c>
      <c r="L6075">
        <v>-3</v>
      </c>
    </row>
    <row r="6076" spans="1:12">
      <c r="A6076" s="183" t="s">
        <v>11770</v>
      </c>
      <c r="L6076">
        <v>-2</v>
      </c>
    </row>
    <row r="6077" spans="1:12">
      <c r="A6077" s="183" t="s">
        <v>11771</v>
      </c>
      <c r="L6077">
        <v>-2</v>
      </c>
    </row>
    <row r="6078" spans="1:12">
      <c r="A6078" s="183" t="s">
        <v>11772</v>
      </c>
      <c r="L6078">
        <v>-2</v>
      </c>
    </row>
    <row r="6079" spans="1:12">
      <c r="A6079" s="183" t="s">
        <v>11773</v>
      </c>
      <c r="L6079">
        <v>-2</v>
      </c>
    </row>
    <row r="6080" spans="1:12">
      <c r="A6080" s="183" t="s">
        <v>11774</v>
      </c>
      <c r="L6080">
        <v>-2</v>
      </c>
    </row>
    <row r="6081" spans="1:12">
      <c r="A6081" s="183" t="s">
        <v>11775</v>
      </c>
      <c r="L6081">
        <v>-2</v>
      </c>
    </row>
    <row r="6082" spans="1:12">
      <c r="A6082" s="183" t="s">
        <v>11776</v>
      </c>
      <c r="L6082">
        <v>-2</v>
      </c>
    </row>
    <row r="6083" spans="1:12">
      <c r="A6083" s="183" t="s">
        <v>11777</v>
      </c>
      <c r="L6083">
        <v>-2</v>
      </c>
    </row>
    <row r="6084" spans="1:12">
      <c r="A6084" s="183" t="s">
        <v>11778</v>
      </c>
      <c r="L6084">
        <v>-2</v>
      </c>
    </row>
    <row r="6085" spans="1:12">
      <c r="A6085" s="183" t="s">
        <v>11779</v>
      </c>
      <c r="L6085">
        <v>-2</v>
      </c>
    </row>
    <row r="6086" spans="1:12">
      <c r="A6086" s="183" t="s">
        <v>11780</v>
      </c>
      <c r="L6086">
        <v>-2</v>
      </c>
    </row>
    <row r="6087" spans="1:12">
      <c r="A6087" s="183" t="s">
        <v>11781</v>
      </c>
      <c r="L6087">
        <v>-2</v>
      </c>
    </row>
    <row r="6088" spans="1:12">
      <c r="A6088" s="183" t="s">
        <v>11782</v>
      </c>
      <c r="L6088">
        <v>-2</v>
      </c>
    </row>
    <row r="6089" spans="1:12">
      <c r="A6089" s="183" t="s">
        <v>11783</v>
      </c>
      <c r="L6089">
        <v>-2</v>
      </c>
    </row>
    <row r="6090" spans="1:12">
      <c r="A6090" s="183" t="s">
        <v>11784</v>
      </c>
      <c r="L6090">
        <v>-2</v>
      </c>
    </row>
    <row r="6091" spans="1:12">
      <c r="A6091" s="183" t="s">
        <v>11785</v>
      </c>
      <c r="L6091">
        <v>-2</v>
      </c>
    </row>
    <row r="6092" spans="1:12">
      <c r="A6092" s="183" t="s">
        <v>11786</v>
      </c>
      <c r="L6092">
        <v>-2</v>
      </c>
    </row>
    <row r="6093" spans="1:12">
      <c r="A6093" s="183" t="s">
        <v>11787</v>
      </c>
      <c r="L6093">
        <v>-2</v>
      </c>
    </row>
    <row r="6094" spans="1:12">
      <c r="A6094" s="183" t="s">
        <v>11788</v>
      </c>
      <c r="L6094">
        <v>-18</v>
      </c>
    </row>
    <row r="6095" spans="1:12">
      <c r="A6095" s="183" t="s">
        <v>11788</v>
      </c>
      <c r="L6095">
        <v>-10</v>
      </c>
    </row>
    <row r="6096" spans="1:12">
      <c r="A6096" s="183" t="s">
        <v>11789</v>
      </c>
      <c r="L6096">
        <v>-10</v>
      </c>
    </row>
    <row r="6097" spans="1:12">
      <c r="A6097" s="183" t="s">
        <v>11789</v>
      </c>
      <c r="L6097">
        <v>-10</v>
      </c>
    </row>
    <row r="6098" spans="1:12">
      <c r="A6098" s="183" t="s">
        <v>11790</v>
      </c>
      <c r="L6098">
        <v>-10</v>
      </c>
    </row>
    <row r="6099" spans="1:12">
      <c r="A6099" s="183" t="s">
        <v>11790</v>
      </c>
      <c r="L6099">
        <v>-10</v>
      </c>
    </row>
    <row r="6100" spans="1:12">
      <c r="A6100" s="183" t="s">
        <v>11791</v>
      </c>
      <c r="L6100">
        <v>-10</v>
      </c>
    </row>
    <row r="6101" spans="1:12">
      <c r="A6101" s="183" t="s">
        <v>11791</v>
      </c>
      <c r="L6101">
        <v>-10</v>
      </c>
    </row>
    <row r="6102" spans="1:12">
      <c r="A6102" s="183" t="s">
        <v>11792</v>
      </c>
      <c r="L6102">
        <v>-10</v>
      </c>
    </row>
    <row r="6103" spans="1:12">
      <c r="A6103" s="183" t="s">
        <v>11792</v>
      </c>
      <c r="L6103">
        <v>-10</v>
      </c>
    </row>
    <row r="6104" spans="1:12">
      <c r="A6104" s="183" t="s">
        <v>11793</v>
      </c>
      <c r="L6104">
        <v>-10</v>
      </c>
    </row>
    <row r="6105" spans="1:12">
      <c r="A6105" s="183" t="s">
        <v>11793</v>
      </c>
      <c r="L6105">
        <v>-10</v>
      </c>
    </row>
    <row r="6106" spans="1:12">
      <c r="A6106" s="183" t="s">
        <v>11794</v>
      </c>
      <c r="L6106">
        <v>-10</v>
      </c>
    </row>
    <row r="6107" spans="1:12">
      <c r="A6107" s="183" t="s">
        <v>11794</v>
      </c>
      <c r="L6107">
        <v>-10</v>
      </c>
    </row>
    <row r="6108" spans="1:12">
      <c r="A6108" s="183" t="s">
        <v>11795</v>
      </c>
      <c r="L6108">
        <v>-10</v>
      </c>
    </row>
    <row r="6109" spans="1:12">
      <c r="A6109" s="183" t="s">
        <v>11795</v>
      </c>
      <c r="L6109">
        <v>-10</v>
      </c>
    </row>
    <row r="6110" spans="1:12">
      <c r="A6110" s="183" t="s">
        <v>11796</v>
      </c>
      <c r="L6110">
        <v>-10</v>
      </c>
    </row>
    <row r="6111" spans="1:12">
      <c r="A6111" s="183" t="s">
        <v>11796</v>
      </c>
      <c r="L6111">
        <v>-10</v>
      </c>
    </row>
    <row r="6112" spans="1:12">
      <c r="A6112" s="183" t="s">
        <v>11797</v>
      </c>
      <c r="L6112">
        <v>-10</v>
      </c>
    </row>
    <row r="6113" spans="1:12">
      <c r="A6113" s="183" t="s">
        <v>11797</v>
      </c>
      <c r="L6113">
        <v>-10</v>
      </c>
    </row>
    <row r="6114" spans="1:12">
      <c r="A6114" s="183" t="s">
        <v>11798</v>
      </c>
      <c r="L6114">
        <v>-10</v>
      </c>
    </row>
    <row r="6115" spans="1:12">
      <c r="A6115" s="183" t="s">
        <v>11798</v>
      </c>
      <c r="L6115">
        <v>-10</v>
      </c>
    </row>
    <row r="6116" spans="1:12">
      <c r="A6116" s="183" t="s">
        <v>11799</v>
      </c>
      <c r="L6116">
        <v>-10</v>
      </c>
    </row>
    <row r="6117" spans="1:12">
      <c r="A6117" s="183" t="s">
        <v>11799</v>
      </c>
      <c r="L6117">
        <v>-10</v>
      </c>
    </row>
    <row r="6118" spans="1:12">
      <c r="A6118" s="183" t="s">
        <v>11800</v>
      </c>
      <c r="L6118">
        <v>-10</v>
      </c>
    </row>
    <row r="6119" spans="1:12">
      <c r="A6119" s="183" t="s">
        <v>11800</v>
      </c>
      <c r="L6119">
        <v>-10</v>
      </c>
    </row>
    <row r="6120" spans="1:12">
      <c r="A6120" s="183" t="s">
        <v>11801</v>
      </c>
      <c r="L6120">
        <v>-10</v>
      </c>
    </row>
    <row r="6121" spans="1:12">
      <c r="A6121" s="183" t="s">
        <v>11801</v>
      </c>
      <c r="L6121">
        <v>-10</v>
      </c>
    </row>
    <row r="6122" spans="1:12">
      <c r="A6122" s="183" t="s">
        <v>11802</v>
      </c>
      <c r="L6122">
        <v>-10</v>
      </c>
    </row>
    <row r="6123" spans="1:12">
      <c r="A6123" s="183" t="s">
        <v>11802</v>
      </c>
      <c r="L6123">
        <v>-10</v>
      </c>
    </row>
    <row r="6124" spans="1:12">
      <c r="A6124" s="183" t="s">
        <v>11803</v>
      </c>
      <c r="L6124">
        <v>-10</v>
      </c>
    </row>
    <row r="6125" spans="1:12">
      <c r="A6125" s="183" t="s">
        <v>11803</v>
      </c>
      <c r="L6125">
        <v>-10</v>
      </c>
    </row>
    <row r="6126" spans="1:12">
      <c r="A6126" s="183" t="s">
        <v>11804</v>
      </c>
      <c r="L6126">
        <v>-10</v>
      </c>
    </row>
    <row r="6127" spans="1:12">
      <c r="A6127" s="183" t="s">
        <v>11805</v>
      </c>
      <c r="L6127">
        <v>-10</v>
      </c>
    </row>
    <row r="6128" spans="1:12">
      <c r="A6128" s="183" t="s">
        <v>11806</v>
      </c>
      <c r="L6128">
        <v>-10</v>
      </c>
    </row>
    <row r="6129" spans="1:12">
      <c r="A6129" s="183" t="s">
        <v>11806</v>
      </c>
      <c r="L6129">
        <v>-10</v>
      </c>
    </row>
    <row r="6130" spans="1:12">
      <c r="A6130" s="183" t="s">
        <v>11807</v>
      </c>
      <c r="L6130">
        <v>-10</v>
      </c>
    </row>
    <row r="6131" spans="1:12">
      <c r="A6131" s="183" t="s">
        <v>11807</v>
      </c>
      <c r="L6131">
        <v>-10</v>
      </c>
    </row>
    <row r="6132" spans="1:12">
      <c r="A6132" s="183" t="s">
        <v>11808</v>
      </c>
      <c r="L6132">
        <v>-10</v>
      </c>
    </row>
    <row r="6133" spans="1:12">
      <c r="A6133" s="183" t="s">
        <v>11808</v>
      </c>
      <c r="L6133">
        <v>-10</v>
      </c>
    </row>
    <row r="6134" spans="1:12">
      <c r="A6134" s="183" t="s">
        <v>11809</v>
      </c>
      <c r="L6134">
        <v>-10</v>
      </c>
    </row>
    <row r="6135" spans="1:12">
      <c r="A6135" s="183" t="s">
        <v>11809</v>
      </c>
      <c r="L6135">
        <v>-10</v>
      </c>
    </row>
    <row r="6136" spans="1:12">
      <c r="A6136" s="183" t="s">
        <v>11810</v>
      </c>
      <c r="L6136">
        <v>-10</v>
      </c>
    </row>
    <row r="6137" spans="1:12">
      <c r="A6137" s="183" t="s">
        <v>11810</v>
      </c>
      <c r="L6137">
        <v>-10</v>
      </c>
    </row>
    <row r="6138" spans="1:12">
      <c r="A6138" s="183" t="s">
        <v>11811</v>
      </c>
      <c r="L6138">
        <v>-10</v>
      </c>
    </row>
    <row r="6139" spans="1:12">
      <c r="A6139" s="183" t="s">
        <v>11812</v>
      </c>
      <c r="L6139">
        <v>-10</v>
      </c>
    </row>
    <row r="6140" spans="1:12">
      <c r="A6140" s="183" t="s">
        <v>11812</v>
      </c>
      <c r="L6140">
        <v>-5</v>
      </c>
    </row>
    <row r="6141" spans="1:12">
      <c r="A6141" s="183" t="s">
        <v>11813</v>
      </c>
      <c r="L6141">
        <v>-10</v>
      </c>
    </row>
    <row r="6142" spans="1:12">
      <c r="A6142" s="183" t="s">
        <v>11814</v>
      </c>
      <c r="L6142">
        <v>-5</v>
      </c>
    </row>
    <row r="6143" spans="1:12">
      <c r="A6143" s="183" t="s">
        <v>11815</v>
      </c>
      <c r="L6143">
        <v>-5</v>
      </c>
    </row>
    <row r="6144" spans="1:12">
      <c r="A6144" s="183" t="s">
        <v>11816</v>
      </c>
      <c r="L6144">
        <v>-5</v>
      </c>
    </row>
    <row r="6145" spans="1:12">
      <c r="A6145" s="183" t="s">
        <v>11817</v>
      </c>
      <c r="L6145">
        <v>-5</v>
      </c>
    </row>
    <row r="6146" spans="1:12">
      <c r="A6146" s="183" t="s">
        <v>11818</v>
      </c>
      <c r="L6146">
        <v>-5</v>
      </c>
    </row>
    <row r="6147" spans="1:12">
      <c r="A6147" s="183" t="s">
        <v>11819</v>
      </c>
      <c r="L6147">
        <v>-5</v>
      </c>
    </row>
    <row r="6148" spans="1:12">
      <c r="A6148" s="183" t="s">
        <v>11820</v>
      </c>
      <c r="L6148">
        <v>-21</v>
      </c>
    </row>
    <row r="6149" spans="1:12">
      <c r="A6149" s="183" t="s">
        <v>11338</v>
      </c>
      <c r="L6149">
        <v>-5</v>
      </c>
    </row>
    <row r="6150" spans="1:12">
      <c r="A6150" s="183" t="s">
        <v>11821</v>
      </c>
      <c r="L6150">
        <v>-5</v>
      </c>
    </row>
    <row r="6151" spans="1:12">
      <c r="A6151" s="183" t="s">
        <v>11822</v>
      </c>
      <c r="L6151">
        <v>-5</v>
      </c>
    </row>
    <row r="6152" spans="1:12">
      <c r="A6152" s="183" t="s">
        <v>11823</v>
      </c>
      <c r="L6152">
        <v>-5</v>
      </c>
    </row>
    <row r="6153" spans="1:12">
      <c r="A6153" s="183" t="s">
        <v>11824</v>
      </c>
      <c r="L6153">
        <v>-5</v>
      </c>
    </row>
    <row r="6154" spans="1:12">
      <c r="A6154" s="183" t="s">
        <v>11825</v>
      </c>
      <c r="L6154">
        <v>-5</v>
      </c>
    </row>
    <row r="6155" spans="1:12">
      <c r="A6155" s="183" t="s">
        <v>11826</v>
      </c>
      <c r="L6155">
        <v>-5</v>
      </c>
    </row>
    <row r="6156" spans="1:12">
      <c r="A6156" s="183" t="s">
        <v>11827</v>
      </c>
      <c r="L6156">
        <v>-5</v>
      </c>
    </row>
    <row r="6157" spans="1:12">
      <c r="A6157" s="183" t="s">
        <v>11828</v>
      </c>
      <c r="L6157">
        <v>-5</v>
      </c>
    </row>
    <row r="6158" spans="1:12">
      <c r="A6158" s="183" t="s">
        <v>11829</v>
      </c>
      <c r="L6158">
        <v>-5</v>
      </c>
    </row>
    <row r="6159" spans="1:12">
      <c r="A6159" s="183" t="s">
        <v>11830</v>
      </c>
      <c r="L6159">
        <v>-5</v>
      </c>
    </row>
    <row r="6160" spans="1:12">
      <c r="A6160" s="183" t="s">
        <v>11831</v>
      </c>
      <c r="L6160">
        <v>-5</v>
      </c>
    </row>
    <row r="6161" spans="1:12">
      <c r="A6161" s="183" t="s">
        <v>11832</v>
      </c>
      <c r="L6161">
        <v>-5</v>
      </c>
    </row>
    <row r="6162" spans="1:12">
      <c r="A6162" s="183" t="s">
        <v>11833</v>
      </c>
      <c r="L6162">
        <v>-5</v>
      </c>
    </row>
    <row r="6163" spans="1:12">
      <c r="A6163" s="183" t="s">
        <v>11834</v>
      </c>
      <c r="L6163">
        <v>-5</v>
      </c>
    </row>
    <row r="6164" spans="1:12">
      <c r="A6164" s="183" t="s">
        <v>11835</v>
      </c>
      <c r="L6164">
        <v>-6</v>
      </c>
    </row>
    <row r="6165" spans="1:12">
      <c r="A6165" s="183" t="s">
        <v>11836</v>
      </c>
      <c r="L6165">
        <v>-6</v>
      </c>
    </row>
    <row r="6166" spans="1:12">
      <c r="A6166" s="183" t="s">
        <v>11837</v>
      </c>
      <c r="L6166">
        <v>-6</v>
      </c>
    </row>
    <row r="6167" spans="1:12">
      <c r="A6167" s="183" t="s">
        <v>11838</v>
      </c>
      <c r="L6167">
        <v>-6</v>
      </c>
    </row>
    <row r="6168" spans="1:12">
      <c r="A6168" s="183" t="s">
        <v>11839</v>
      </c>
      <c r="L6168">
        <v>-5</v>
      </c>
    </row>
    <row r="6169" spans="1:12">
      <c r="A6169" s="183" t="s">
        <v>11840</v>
      </c>
      <c r="L6169">
        <v>-6</v>
      </c>
    </row>
    <row r="6170" spans="1:12">
      <c r="A6170" s="183" t="s">
        <v>11841</v>
      </c>
      <c r="L6170">
        <v>-5</v>
      </c>
    </row>
    <row r="6171" spans="1:12">
      <c r="A6171" s="183" t="s">
        <v>11842</v>
      </c>
      <c r="L6171">
        <v>-6</v>
      </c>
    </row>
    <row r="6172" spans="1:12">
      <c r="A6172" s="183" t="s">
        <v>11843</v>
      </c>
      <c r="L6172">
        <v>-6</v>
      </c>
    </row>
    <row r="6173" spans="1:12">
      <c r="A6173" s="183" t="s">
        <v>11844</v>
      </c>
      <c r="L6173">
        <v>-6</v>
      </c>
    </row>
    <row r="6174" spans="1:12">
      <c r="A6174" s="183" t="s">
        <v>11845</v>
      </c>
      <c r="L6174">
        <v>-6</v>
      </c>
    </row>
    <row r="6175" spans="1:12">
      <c r="A6175" s="183" t="s">
        <v>11846</v>
      </c>
      <c r="L6175">
        <v>-6</v>
      </c>
    </row>
    <row r="6176" spans="1:12">
      <c r="A6176" s="183" t="s">
        <v>11847</v>
      </c>
      <c r="L6176">
        <v>-5</v>
      </c>
    </row>
    <row r="6177" spans="1:12">
      <c r="A6177" s="183" t="s">
        <v>11848</v>
      </c>
      <c r="L6177">
        <v>-5</v>
      </c>
    </row>
    <row r="6178" spans="1:12">
      <c r="A6178" s="183" t="s">
        <v>11849</v>
      </c>
      <c r="L6178">
        <v>-5</v>
      </c>
    </row>
    <row r="6179" spans="1:12">
      <c r="A6179" s="183" t="s">
        <v>11850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6380</v>
      </c>
      <c r="L2" s="503">
        <v>-100</v>
      </c>
    </row>
    <row r="3" spans="1:12">
      <c r="A3" s="507" t="s">
        <v>6492</v>
      </c>
      <c r="L3" s="503">
        <v>-150</v>
      </c>
    </row>
    <row r="4" spans="1:12">
      <c r="A4" s="507" t="s">
        <v>6493</v>
      </c>
      <c r="L4" s="503">
        <v>-180</v>
      </c>
    </row>
    <row r="5" spans="1:12">
      <c r="A5" s="507" t="s">
        <v>6494</v>
      </c>
      <c r="L5" s="503">
        <v>-100</v>
      </c>
    </row>
    <row r="6" spans="1:12">
      <c r="A6" s="507" t="s">
        <v>6495</v>
      </c>
      <c r="L6" s="503">
        <v>-100</v>
      </c>
    </row>
    <row r="7" spans="1:12">
      <c r="A7" s="507" t="s">
        <v>6496</v>
      </c>
      <c r="L7" s="503">
        <v>-100</v>
      </c>
    </row>
    <row r="8" spans="1:12">
      <c r="A8" s="507" t="s">
        <v>6497</v>
      </c>
      <c r="L8" s="503">
        <v>-190</v>
      </c>
    </row>
    <row r="9" spans="1:12">
      <c r="A9" s="507" t="s">
        <v>6498</v>
      </c>
      <c r="L9" s="503">
        <v>-100</v>
      </c>
    </row>
    <row r="10" spans="1:12">
      <c r="A10" s="507" t="s">
        <v>6499</v>
      </c>
      <c r="L10" s="503">
        <v>-150</v>
      </c>
    </row>
    <row r="11" spans="1:12">
      <c r="A11" s="507" t="s">
        <v>6500</v>
      </c>
      <c r="L11" s="503">
        <v>-100</v>
      </c>
    </row>
    <row r="12" spans="1:12">
      <c r="A12" s="507" t="s">
        <v>6501</v>
      </c>
      <c r="L12" s="503">
        <v>-180</v>
      </c>
    </row>
    <row r="13" spans="1:12">
      <c r="A13" s="507" t="s">
        <v>6502</v>
      </c>
      <c r="L13" s="503">
        <v>-100</v>
      </c>
    </row>
    <row r="14" spans="1:12">
      <c r="A14" s="507" t="s">
        <v>6503</v>
      </c>
      <c r="L14" s="503">
        <v>-100</v>
      </c>
    </row>
    <row r="15" spans="1:12">
      <c r="A15" s="507" t="s">
        <v>6504</v>
      </c>
      <c r="L15" s="503">
        <v>-100</v>
      </c>
    </row>
    <row r="16" spans="1:12">
      <c r="A16" s="507" t="s">
        <v>6505</v>
      </c>
      <c r="L16" s="503">
        <v>-100</v>
      </c>
    </row>
    <row r="17" spans="1:12">
      <c r="A17" s="507" t="s">
        <v>6506</v>
      </c>
      <c r="L17" s="503">
        <v>-100</v>
      </c>
    </row>
    <row r="18" spans="1:12">
      <c r="A18" s="507" t="s">
        <v>6507</v>
      </c>
      <c r="L18" s="503">
        <v>-100</v>
      </c>
    </row>
    <row r="19" spans="1:12">
      <c r="A19" s="507" t="s">
        <v>6508</v>
      </c>
      <c r="L19" s="503">
        <v>-100</v>
      </c>
    </row>
    <row r="20" spans="1:12">
      <c r="A20" s="507" t="s">
        <v>6509</v>
      </c>
      <c r="L20" s="503">
        <v>-100</v>
      </c>
    </row>
    <row r="21" spans="1:12">
      <c r="A21" s="507" t="s">
        <v>6510</v>
      </c>
      <c r="L21" s="503">
        <v>-100</v>
      </c>
    </row>
    <row r="22" spans="1:12">
      <c r="A22" s="507" t="s">
        <v>6511</v>
      </c>
      <c r="L22" s="503">
        <v>-50</v>
      </c>
    </row>
    <row r="23" spans="1:12">
      <c r="A23" s="507" t="s">
        <v>6512</v>
      </c>
      <c r="L23" s="503">
        <v>-10</v>
      </c>
    </row>
    <row r="24" spans="1:12">
      <c r="A24" s="507" t="s">
        <v>6513</v>
      </c>
      <c r="L24" s="503">
        <v>-10</v>
      </c>
    </row>
    <row r="25" spans="1:12">
      <c r="A25" s="507" t="s">
        <v>6514</v>
      </c>
      <c r="L25" s="503">
        <v>-40</v>
      </c>
    </row>
    <row r="26" spans="1:12">
      <c r="A26" s="507" t="s">
        <v>6515</v>
      </c>
      <c r="L26" s="503">
        <v>-10</v>
      </c>
    </row>
    <row r="27" spans="1:12">
      <c r="A27" s="507" t="s">
        <v>6516</v>
      </c>
      <c r="L27" s="503">
        <v>-10</v>
      </c>
    </row>
    <row r="28" spans="1:12">
      <c r="A28" s="507" t="s">
        <v>6517</v>
      </c>
      <c r="L28" s="503">
        <v>-10</v>
      </c>
    </row>
    <row r="29" spans="1:12">
      <c r="A29" s="507" t="s">
        <v>6518</v>
      </c>
      <c r="L29" s="503">
        <v>-10</v>
      </c>
    </row>
    <row r="30" spans="1:12">
      <c r="A30" s="507" t="s">
        <v>6519</v>
      </c>
      <c r="L30" s="503">
        <v>-10</v>
      </c>
    </row>
    <row r="31" spans="1:12">
      <c r="A31" s="507" t="s">
        <v>6520</v>
      </c>
      <c r="L31" s="487">
        <v>-100</v>
      </c>
    </row>
    <row r="32" spans="1:12">
      <c r="A32" s="507" t="s">
        <v>6521</v>
      </c>
      <c r="L32" s="487">
        <v>-60</v>
      </c>
    </row>
    <row r="33" spans="1:12">
      <c r="A33" s="507" t="s">
        <v>6522</v>
      </c>
      <c r="L33" s="487">
        <v>-40</v>
      </c>
    </row>
    <row r="34" spans="1:12">
      <c r="A34" s="507" t="s">
        <v>6523</v>
      </c>
      <c r="L34" s="487">
        <v>-50</v>
      </c>
    </row>
    <row r="35" spans="1:12">
      <c r="A35" s="507" t="s">
        <v>6524</v>
      </c>
      <c r="L35" s="487">
        <v>-20</v>
      </c>
    </row>
    <row r="36" spans="1:12">
      <c r="A36" s="507" t="s">
        <v>6525</v>
      </c>
      <c r="L36" s="487">
        <v>-100</v>
      </c>
    </row>
    <row r="37" spans="1:12">
      <c r="A37" s="507" t="s">
        <v>6526</v>
      </c>
      <c r="L37" s="487">
        <v>-100</v>
      </c>
    </row>
    <row r="38" spans="1:12">
      <c r="A38" s="507" t="s">
        <v>6527</v>
      </c>
      <c r="L38" s="487">
        <v>-100</v>
      </c>
    </row>
    <row r="39" spans="1:12">
      <c r="A39" s="507" t="s">
        <v>6528</v>
      </c>
      <c r="L39" s="487">
        <v>-10</v>
      </c>
    </row>
    <row r="40" spans="1:12">
      <c r="A40" s="507" t="s">
        <v>6529</v>
      </c>
      <c r="L40" s="487">
        <v>-100</v>
      </c>
    </row>
    <row r="41" spans="1:12">
      <c r="A41" s="507" t="s">
        <v>6530</v>
      </c>
      <c r="L41" s="487">
        <v>-50</v>
      </c>
    </row>
    <row r="42" spans="1:12">
      <c r="A42" s="507" t="s">
        <v>6531</v>
      </c>
      <c r="L42" s="487">
        <v>-100</v>
      </c>
    </row>
    <row r="43" spans="1:12">
      <c r="A43" s="507" t="s">
        <v>6532</v>
      </c>
      <c r="L43" s="487">
        <v>-20</v>
      </c>
    </row>
    <row r="44" spans="1:12">
      <c r="A44" s="507" t="s">
        <v>6533</v>
      </c>
      <c r="L44" s="487">
        <v>-100</v>
      </c>
    </row>
    <row r="45" spans="1:12">
      <c r="A45" s="507" t="s">
        <v>6534</v>
      </c>
      <c r="L45" s="487">
        <v>-100</v>
      </c>
    </row>
    <row r="46" spans="1:12">
      <c r="A46" s="507" t="s">
        <v>6535</v>
      </c>
      <c r="L46" s="487">
        <v>-100</v>
      </c>
    </row>
    <row r="47" spans="1:12">
      <c r="A47" s="507" t="s">
        <v>6536</v>
      </c>
      <c r="L47" s="487">
        <v>-100</v>
      </c>
    </row>
    <row r="48" spans="1:12">
      <c r="A48" s="507" t="s">
        <v>6537</v>
      </c>
      <c r="L48" s="487">
        <v>-100</v>
      </c>
    </row>
    <row r="49" spans="1:12">
      <c r="A49" s="507" t="s">
        <v>6538</v>
      </c>
      <c r="L49" s="487">
        <v>-100</v>
      </c>
    </row>
    <row r="50" spans="1:12">
      <c r="A50" s="507" t="s">
        <v>6539</v>
      </c>
      <c r="L50" s="487">
        <v>-100</v>
      </c>
    </row>
    <row r="51" spans="1:12">
      <c r="A51" s="507" t="s">
        <v>6540</v>
      </c>
      <c r="L51" s="487">
        <v>-100</v>
      </c>
    </row>
    <row r="52" spans="1:12">
      <c r="A52" s="507" t="s">
        <v>6541</v>
      </c>
      <c r="L52" s="487">
        <v>-100</v>
      </c>
    </row>
    <row r="53" spans="1:12">
      <c r="A53" s="507" t="s">
        <v>6542</v>
      </c>
      <c r="L53" s="487">
        <v>-100</v>
      </c>
    </row>
    <row r="54" spans="1:12">
      <c r="A54" s="507" t="s">
        <v>6543</v>
      </c>
      <c r="L54" s="487">
        <v>-50</v>
      </c>
    </row>
    <row r="55" spans="1:12">
      <c r="A55" s="507" t="s">
        <v>6544</v>
      </c>
      <c r="L55" s="487">
        <v>-50</v>
      </c>
    </row>
    <row r="56" spans="1:12">
      <c r="A56" s="507" t="s">
        <v>6545</v>
      </c>
      <c r="L56" s="487">
        <v>-50</v>
      </c>
    </row>
    <row r="57" spans="1:12">
      <c r="A57" s="507" t="s">
        <v>6546</v>
      </c>
      <c r="L57" s="487">
        <v>-50</v>
      </c>
    </row>
    <row r="58" spans="1:12">
      <c r="A58" s="507" t="s">
        <v>6547</v>
      </c>
      <c r="L58" s="487">
        <v>-50</v>
      </c>
    </row>
    <row r="59" spans="1:12">
      <c r="A59" s="507" t="s">
        <v>6548</v>
      </c>
      <c r="L59" s="487">
        <v>-50</v>
      </c>
    </row>
    <row r="60" spans="1:12">
      <c r="A60" s="507" t="s">
        <v>6549</v>
      </c>
      <c r="L60" s="487">
        <v>-50</v>
      </c>
    </row>
    <row r="61" spans="1:12">
      <c r="A61" s="507" t="s">
        <v>6550</v>
      </c>
      <c r="L61" s="487">
        <v>-100</v>
      </c>
    </row>
    <row r="62" spans="1:12">
      <c r="A62" s="507" t="s">
        <v>6551</v>
      </c>
      <c r="L62" s="487">
        <v>-40</v>
      </c>
    </row>
    <row r="63" spans="1:12">
      <c r="A63" s="507" t="s">
        <v>6552</v>
      </c>
      <c r="L63" s="487">
        <v>-40</v>
      </c>
    </row>
    <row r="64" spans="1:12">
      <c r="A64" s="507" t="s">
        <v>6553</v>
      </c>
      <c r="L64" s="487">
        <v>-50</v>
      </c>
    </row>
    <row r="65" spans="1:12">
      <c r="A65" s="507" t="s">
        <v>6554</v>
      </c>
      <c r="L65" s="487">
        <v>-50</v>
      </c>
    </row>
    <row r="66" spans="1:12">
      <c r="A66" s="507" t="s">
        <v>6555</v>
      </c>
      <c r="L66" s="487">
        <v>-60</v>
      </c>
    </row>
    <row r="67" spans="1:12">
      <c r="A67" s="507" t="s">
        <v>6556</v>
      </c>
      <c r="L67" s="487">
        <v>-60</v>
      </c>
    </row>
    <row r="68" spans="1:12">
      <c r="A68" s="507" t="s">
        <v>6557</v>
      </c>
      <c r="L68" s="487">
        <v>-20</v>
      </c>
    </row>
    <row r="69" spans="1:12">
      <c r="A69" s="507" t="s">
        <v>6558</v>
      </c>
      <c r="L69" s="487">
        <v>-50</v>
      </c>
    </row>
    <row r="70" spans="1:12">
      <c r="A70" s="507" t="s">
        <v>6559</v>
      </c>
      <c r="L70" s="487">
        <v>-60</v>
      </c>
    </row>
    <row r="71" spans="1:12">
      <c r="A71" s="507" t="s">
        <v>6560</v>
      </c>
      <c r="L71" s="487">
        <v>-50</v>
      </c>
    </row>
    <row r="72" spans="1:12">
      <c r="A72" s="507" t="s">
        <v>6561</v>
      </c>
      <c r="L72" s="487">
        <v>-60</v>
      </c>
    </row>
    <row r="73" spans="1:12">
      <c r="A73" s="507" t="s">
        <v>6562</v>
      </c>
      <c r="L73" s="487">
        <v>-60</v>
      </c>
    </row>
    <row r="74" spans="1:12">
      <c r="A74" s="507" t="s">
        <v>6563</v>
      </c>
      <c r="L74" s="487">
        <v>-50</v>
      </c>
    </row>
    <row r="75" spans="1:12">
      <c r="A75" s="507" t="s">
        <v>6564</v>
      </c>
      <c r="L75" s="487">
        <v>-50</v>
      </c>
    </row>
    <row r="76" spans="1:12">
      <c r="A76" s="507" t="s">
        <v>6565</v>
      </c>
      <c r="L76" s="487">
        <v>-60</v>
      </c>
    </row>
    <row r="77" spans="1:12">
      <c r="A77" s="507" t="s">
        <v>6566</v>
      </c>
      <c r="L77" s="487">
        <v>-50</v>
      </c>
    </row>
    <row r="78" spans="1:12">
      <c r="A78" s="507" t="s">
        <v>6567</v>
      </c>
      <c r="L78" s="487">
        <v>-60</v>
      </c>
    </row>
    <row r="79" spans="1:12">
      <c r="A79" s="507" t="s">
        <v>6568</v>
      </c>
      <c r="L79" s="487">
        <v>-60</v>
      </c>
    </row>
    <row r="80" spans="1:12">
      <c r="A80" s="507" t="s">
        <v>6569</v>
      </c>
      <c r="L80" s="487">
        <v>-60</v>
      </c>
    </row>
    <row r="81" spans="1:12">
      <c r="A81" s="507" t="s">
        <v>6570</v>
      </c>
      <c r="L81" s="487">
        <v>-60</v>
      </c>
    </row>
    <row r="82" spans="1:12">
      <c r="A82" s="507" t="s">
        <v>6571</v>
      </c>
      <c r="L82" s="487">
        <v>-50</v>
      </c>
    </row>
    <row r="83" spans="1:12">
      <c r="A83" s="507" t="s">
        <v>6572</v>
      </c>
      <c r="L83" s="487">
        <v>-50</v>
      </c>
    </row>
    <row r="84" spans="1:12">
      <c r="A84" s="507" t="s">
        <v>6573</v>
      </c>
      <c r="L84" s="487">
        <v>-50</v>
      </c>
    </row>
    <row r="85" spans="1:12">
      <c r="A85" s="507" t="s">
        <v>6574</v>
      </c>
      <c r="L85" s="487">
        <v>-30</v>
      </c>
    </row>
    <row r="86" spans="1:12">
      <c r="A86" s="507" t="s">
        <v>6575</v>
      </c>
      <c r="L86" s="487">
        <v>-30</v>
      </c>
    </row>
    <row r="87" spans="1:12">
      <c r="A87" s="507" t="s">
        <v>6576</v>
      </c>
      <c r="L87" s="487">
        <v>-30</v>
      </c>
    </row>
    <row r="88" spans="1:12">
      <c r="A88" s="507" t="s">
        <v>6577</v>
      </c>
      <c r="L88" s="487">
        <v>-30</v>
      </c>
    </row>
    <row r="89" spans="1:12">
      <c r="A89" s="507" t="s">
        <v>6578</v>
      </c>
      <c r="L89" s="487">
        <v>-20</v>
      </c>
    </row>
    <row r="90" spans="1:12">
      <c r="A90" s="507" t="s">
        <v>6579</v>
      </c>
      <c r="L90" s="487">
        <v>-30</v>
      </c>
    </row>
    <row r="91" spans="1:12">
      <c r="A91" s="507" t="s">
        <v>6580</v>
      </c>
      <c r="L91" s="487">
        <v>-100</v>
      </c>
    </row>
    <row r="92" spans="1:12">
      <c r="A92" s="507" t="s">
        <v>6581</v>
      </c>
      <c r="L92" s="487">
        <v>-40</v>
      </c>
    </row>
    <row r="93" spans="1:12">
      <c r="A93" s="507" t="s">
        <v>6582</v>
      </c>
      <c r="L93" s="487">
        <v>-40</v>
      </c>
    </row>
    <row r="94" spans="1:12">
      <c r="A94" s="507" t="s">
        <v>6583</v>
      </c>
      <c r="L94" s="487">
        <v>-60</v>
      </c>
    </row>
    <row r="95" spans="1:12">
      <c r="A95" s="507" t="s">
        <v>6584</v>
      </c>
      <c r="L95" s="487">
        <v>-60</v>
      </c>
    </row>
    <row r="96" spans="1:12">
      <c r="A96" s="507" t="s">
        <v>6585</v>
      </c>
      <c r="L96" s="487">
        <v>-60</v>
      </c>
    </row>
    <row r="97" spans="1:12">
      <c r="A97" s="507" t="s">
        <v>6586</v>
      </c>
      <c r="L97" s="487">
        <v>-60</v>
      </c>
    </row>
    <row r="98" spans="1:12">
      <c r="A98" s="507" t="s">
        <v>6587</v>
      </c>
      <c r="L98" s="487">
        <v>-60</v>
      </c>
    </row>
    <row r="99" spans="1:12">
      <c r="A99" s="507" t="s">
        <v>6588</v>
      </c>
      <c r="L99" s="487">
        <v>-60</v>
      </c>
    </row>
    <row r="100" spans="1:12">
      <c r="A100" s="507" t="s">
        <v>6589</v>
      </c>
      <c r="L100" s="487">
        <v>-60</v>
      </c>
    </row>
    <row r="101" spans="1:12">
      <c r="A101" s="507" t="s">
        <v>6590</v>
      </c>
      <c r="L101" s="487">
        <v>-50</v>
      </c>
    </row>
    <row r="102" spans="1:12">
      <c r="A102" s="507" t="s">
        <v>6591</v>
      </c>
      <c r="L102" s="487">
        <v>-60</v>
      </c>
    </row>
    <row r="103" spans="1:12">
      <c r="A103" s="507" t="s">
        <v>6592</v>
      </c>
      <c r="L103" s="487">
        <v>-60</v>
      </c>
    </row>
    <row r="104" spans="1:12">
      <c r="A104" s="507" t="s">
        <v>6593</v>
      </c>
      <c r="L104" s="487">
        <v>-60</v>
      </c>
    </row>
    <row r="105" spans="1:12">
      <c r="A105" s="507" t="s">
        <v>6594</v>
      </c>
      <c r="L105" s="487">
        <v>-60</v>
      </c>
    </row>
    <row r="106" spans="1:12">
      <c r="A106" s="507" t="s">
        <v>6595</v>
      </c>
      <c r="L106" s="487">
        <v>-60</v>
      </c>
    </row>
    <row r="107" spans="1:12">
      <c r="A107" s="507" t="s">
        <v>6596</v>
      </c>
      <c r="L107" s="487">
        <v>-60</v>
      </c>
    </row>
    <row r="108" spans="1:12">
      <c r="A108" s="507" t="s">
        <v>6597</v>
      </c>
      <c r="L108" s="487">
        <v>-60</v>
      </c>
    </row>
    <row r="109" spans="1:12">
      <c r="A109" s="507" t="s">
        <v>6598</v>
      </c>
      <c r="L109" s="487">
        <v>-60</v>
      </c>
    </row>
    <row r="110" spans="1:12">
      <c r="A110" s="507" t="s">
        <v>6599</v>
      </c>
      <c r="L110" s="487">
        <v>-60</v>
      </c>
    </row>
    <row r="111" spans="1:12">
      <c r="A111" s="507" t="s">
        <v>6600</v>
      </c>
      <c r="L111" s="487">
        <v>-60</v>
      </c>
    </row>
    <row r="112" spans="1:12">
      <c r="A112" s="507" t="s">
        <v>6601</v>
      </c>
      <c r="L112" s="487">
        <v>-50</v>
      </c>
    </row>
    <row r="113" spans="1:12">
      <c r="A113" s="507" t="s">
        <v>6602</v>
      </c>
      <c r="L113" s="487">
        <v>-50</v>
      </c>
    </row>
    <row r="114" spans="1:12">
      <c r="A114" s="507" t="s">
        <v>6603</v>
      </c>
      <c r="L114" s="487">
        <v>-50</v>
      </c>
    </row>
    <row r="115" spans="1:12">
      <c r="A115" s="507" t="s">
        <v>6604</v>
      </c>
      <c r="L115" s="487">
        <v>-30</v>
      </c>
    </row>
    <row r="116" spans="1:12">
      <c r="A116" s="507" t="s">
        <v>6605</v>
      </c>
      <c r="L116" s="487">
        <v>-30</v>
      </c>
    </row>
    <row r="117" spans="1:12">
      <c r="A117" s="507" t="s">
        <v>6606</v>
      </c>
      <c r="L117" s="487">
        <v>-30</v>
      </c>
    </row>
    <row r="118" spans="1:12">
      <c r="A118" s="507" t="s">
        <v>6607</v>
      </c>
      <c r="L118" s="487">
        <v>-30</v>
      </c>
    </row>
    <row r="119" spans="1:12">
      <c r="A119" s="507" t="s">
        <v>6608</v>
      </c>
      <c r="L119" s="487">
        <v>-30</v>
      </c>
    </row>
    <row r="120" spans="1:12">
      <c r="A120" s="507" t="s">
        <v>6609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6410</v>
      </c>
      <c r="B3" s="504" t="s">
        <v>6409</v>
      </c>
    </row>
    <row r="4" spans="1:30">
      <c r="A4" s="505" t="s">
        <v>6408</v>
      </c>
      <c r="B4" s="487" t="s">
        <v>4784</v>
      </c>
      <c r="C4" s="487" t="s">
        <v>4845</v>
      </c>
      <c r="D4" s="487" t="s">
        <v>4846</v>
      </c>
      <c r="E4" s="487" t="s">
        <v>4805</v>
      </c>
      <c r="F4" s="487" t="s">
        <v>4775</v>
      </c>
      <c r="G4" s="487" t="s">
        <v>6489</v>
      </c>
      <c r="H4" s="487" t="s">
        <v>4778</v>
      </c>
      <c r="I4" s="487" t="s">
        <v>4779</v>
      </c>
      <c r="J4" s="487" t="s">
        <v>4806</v>
      </c>
      <c r="K4" s="487" t="s">
        <v>4777</v>
      </c>
      <c r="L4" s="487" t="s">
        <v>4672</v>
      </c>
      <c r="M4" s="487" t="s">
        <v>4755</v>
      </c>
      <c r="N4" s="487" t="s">
        <v>4774</v>
      </c>
      <c r="O4" s="487" t="s">
        <v>4756</v>
      </c>
      <c r="P4" s="487" t="s">
        <v>4835</v>
      </c>
      <c r="Q4" s="487" t="s">
        <v>4817</v>
      </c>
      <c r="R4" s="487" t="s">
        <v>4823</v>
      </c>
      <c r="S4" s="487" t="s">
        <v>4821</v>
      </c>
      <c r="T4" s="487" t="s">
        <v>4826</v>
      </c>
      <c r="U4" s="487" t="s">
        <v>6441</v>
      </c>
      <c r="V4" s="487" t="s">
        <v>4787</v>
      </c>
      <c r="W4" s="487" t="s">
        <v>6488</v>
      </c>
      <c r="X4" s="487" t="s">
        <v>4820</v>
      </c>
      <c r="Y4" s="487" t="s">
        <v>6419</v>
      </c>
      <c r="Z4" s="487" t="s">
        <v>6420</v>
      </c>
      <c r="AA4" s="487" t="s">
        <v>6417</v>
      </c>
      <c r="AB4" s="487" t="s">
        <v>6421</v>
      </c>
      <c r="AC4" s="487" t="s">
        <v>6422</v>
      </c>
      <c r="AD4" s="487" t="s">
        <v>4770</v>
      </c>
    </row>
    <row r="5" spans="1:30">
      <c r="A5" s="506" t="s">
        <v>6418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6446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6447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6448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6442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6416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4776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6491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4786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6490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4768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4770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92"/>
  <sheetViews>
    <sheetView workbookViewId="0">
      <selection activeCell="L10" sqref="L10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7313</v>
      </c>
      <c r="B1" t="s">
        <v>7314</v>
      </c>
      <c r="C1" t="s">
        <v>7315</v>
      </c>
      <c r="D1" t="s">
        <v>3157</v>
      </c>
      <c r="E1" t="s">
        <v>3173</v>
      </c>
      <c r="F1" t="s">
        <v>3174</v>
      </c>
      <c r="G1" t="s">
        <v>4781</v>
      </c>
      <c r="H1" t="s">
        <v>7316</v>
      </c>
      <c r="I1" t="s">
        <v>7317</v>
      </c>
      <c r="J1" t="s">
        <v>7318</v>
      </c>
      <c r="K1" t="s">
        <v>7319</v>
      </c>
      <c r="L1" t="s">
        <v>7320</v>
      </c>
      <c r="M1" t="s">
        <v>7321</v>
      </c>
      <c r="N1" t="s">
        <v>7322</v>
      </c>
      <c r="O1" t="s">
        <v>7323</v>
      </c>
      <c r="P1" t="s">
        <v>7324</v>
      </c>
      <c r="Q1" t="s">
        <v>7325</v>
      </c>
      <c r="R1" t="s">
        <v>7326</v>
      </c>
      <c r="S1" t="s">
        <v>7327</v>
      </c>
    </row>
    <row r="2" spans="1:19">
      <c r="A2" t="s">
        <v>9197</v>
      </c>
      <c r="B2">
        <v>103</v>
      </c>
      <c r="C2" t="s">
        <v>7328</v>
      </c>
      <c r="D2" t="s">
        <v>9198</v>
      </c>
      <c r="E2" t="s">
        <v>9199</v>
      </c>
      <c r="F2" t="s">
        <v>6448</v>
      </c>
      <c r="G2">
        <v>-7</v>
      </c>
      <c r="H2">
        <v>-7</v>
      </c>
      <c r="L2" t="s">
        <v>9200</v>
      </c>
      <c r="M2" t="s">
        <v>9200</v>
      </c>
      <c r="N2" s="501">
        <v>1</v>
      </c>
      <c r="O2" s="501"/>
      <c r="P2" s="501">
        <v>0</v>
      </c>
      <c r="Q2" s="501">
        <v>1</v>
      </c>
      <c r="R2" t="s">
        <v>7329</v>
      </c>
      <c r="S2">
        <v>0</v>
      </c>
    </row>
    <row r="3" spans="1:19">
      <c r="A3" t="s">
        <v>9201</v>
      </c>
      <c r="B3">
        <v>103</v>
      </c>
      <c r="C3" t="s">
        <v>7328</v>
      </c>
      <c r="D3" t="s">
        <v>9202</v>
      </c>
      <c r="E3" t="s">
        <v>9203</v>
      </c>
      <c r="F3" t="s">
        <v>9204</v>
      </c>
      <c r="G3" t="s">
        <v>9205</v>
      </c>
      <c r="H3">
        <v>0</v>
      </c>
      <c r="L3" t="s">
        <v>7330</v>
      </c>
      <c r="M3" t="s">
        <v>7330</v>
      </c>
      <c r="N3" s="501">
        <v>6250</v>
      </c>
      <c r="O3" s="501"/>
      <c r="P3" s="501">
        <v>0</v>
      </c>
      <c r="Q3" s="501">
        <v>6250</v>
      </c>
      <c r="R3" t="s">
        <v>7329</v>
      </c>
      <c r="S3">
        <v>0</v>
      </c>
    </row>
    <row r="4" spans="1:19">
      <c r="A4" t="s">
        <v>9201</v>
      </c>
      <c r="B4">
        <v>103</v>
      </c>
      <c r="C4" t="s">
        <v>7328</v>
      </c>
      <c r="D4" t="s">
        <v>9202</v>
      </c>
      <c r="E4" t="s">
        <v>9203</v>
      </c>
      <c r="F4" t="s">
        <v>9204</v>
      </c>
      <c r="G4" t="s">
        <v>9205</v>
      </c>
      <c r="H4">
        <v>0</v>
      </c>
      <c r="K4" t="s">
        <v>9206</v>
      </c>
      <c r="L4" t="s">
        <v>9207</v>
      </c>
      <c r="M4" t="s">
        <v>9208</v>
      </c>
      <c r="N4" s="501"/>
      <c r="O4" s="501">
        <v>900</v>
      </c>
      <c r="P4" s="501">
        <v>900</v>
      </c>
      <c r="Q4" s="501"/>
      <c r="R4" t="s">
        <v>7329</v>
      </c>
      <c r="S4">
        <v>0</v>
      </c>
    </row>
    <row r="5" spans="1:19">
      <c r="A5" t="s">
        <v>9201</v>
      </c>
      <c r="B5">
        <v>103</v>
      </c>
      <c r="C5" t="s">
        <v>7328</v>
      </c>
      <c r="D5" t="s">
        <v>9202</v>
      </c>
      <c r="E5" t="s">
        <v>9209</v>
      </c>
      <c r="F5" t="s">
        <v>9204</v>
      </c>
      <c r="G5" t="s">
        <v>9210</v>
      </c>
      <c r="H5">
        <v>-0.5</v>
      </c>
      <c r="L5" t="s">
        <v>7330</v>
      </c>
      <c r="M5" t="s">
        <v>7330</v>
      </c>
      <c r="N5" s="501">
        <v>830</v>
      </c>
      <c r="O5" s="501"/>
      <c r="P5" s="501">
        <v>0</v>
      </c>
      <c r="Q5" s="501">
        <v>830</v>
      </c>
      <c r="R5" t="s">
        <v>7329</v>
      </c>
      <c r="S5">
        <v>0</v>
      </c>
    </row>
    <row r="6" spans="1:19">
      <c r="A6" t="s">
        <v>9201</v>
      </c>
      <c r="B6">
        <v>103</v>
      </c>
      <c r="C6" t="s">
        <v>7328</v>
      </c>
      <c r="D6" t="s">
        <v>9202</v>
      </c>
      <c r="E6" t="s">
        <v>9211</v>
      </c>
      <c r="F6" t="s">
        <v>9204</v>
      </c>
      <c r="G6" t="s">
        <v>9212</v>
      </c>
      <c r="H6">
        <v>-0.75</v>
      </c>
      <c r="L6" t="s">
        <v>7330</v>
      </c>
      <c r="M6" t="s">
        <v>7330</v>
      </c>
      <c r="N6" s="501">
        <v>690</v>
      </c>
      <c r="O6" s="501"/>
      <c r="P6" s="501">
        <v>0</v>
      </c>
      <c r="Q6" s="501">
        <v>690</v>
      </c>
      <c r="R6" t="s">
        <v>7329</v>
      </c>
      <c r="S6">
        <v>0</v>
      </c>
    </row>
    <row r="7" spans="1:19">
      <c r="A7" t="s">
        <v>9201</v>
      </c>
      <c r="B7">
        <v>103</v>
      </c>
      <c r="C7" t="s">
        <v>7328</v>
      </c>
      <c r="D7" t="s">
        <v>9202</v>
      </c>
      <c r="E7" t="s">
        <v>9213</v>
      </c>
      <c r="F7" t="s">
        <v>9204</v>
      </c>
      <c r="G7" t="s">
        <v>9214</v>
      </c>
      <c r="H7">
        <v>-1</v>
      </c>
      <c r="L7" t="s">
        <v>7330</v>
      </c>
      <c r="M7" t="s">
        <v>7330</v>
      </c>
      <c r="N7" s="501">
        <v>2430</v>
      </c>
      <c r="O7" s="501"/>
      <c r="P7" s="501">
        <v>0</v>
      </c>
      <c r="Q7" s="501">
        <v>2430</v>
      </c>
      <c r="R7" t="s">
        <v>7329</v>
      </c>
      <c r="S7">
        <v>0</v>
      </c>
    </row>
    <row r="8" spans="1:19">
      <c r="A8" t="s">
        <v>9201</v>
      </c>
      <c r="B8">
        <v>103</v>
      </c>
      <c r="C8" t="s">
        <v>7328</v>
      </c>
      <c r="D8" t="s">
        <v>9202</v>
      </c>
      <c r="E8" t="s">
        <v>9215</v>
      </c>
      <c r="F8" t="s">
        <v>9204</v>
      </c>
      <c r="G8" t="s">
        <v>9216</v>
      </c>
      <c r="H8">
        <v>-1.25</v>
      </c>
      <c r="L8" t="s">
        <v>7330</v>
      </c>
      <c r="M8" t="s">
        <v>7330</v>
      </c>
      <c r="N8" s="501">
        <v>780</v>
      </c>
      <c r="O8" s="501">
        <v>65</v>
      </c>
      <c r="P8" s="501">
        <v>0</v>
      </c>
      <c r="Q8" s="501">
        <v>845</v>
      </c>
      <c r="R8" t="s">
        <v>7329</v>
      </c>
      <c r="S8">
        <v>0</v>
      </c>
    </row>
    <row r="9" spans="1:19">
      <c r="A9" t="s">
        <v>9201</v>
      </c>
      <c r="B9">
        <v>103</v>
      </c>
      <c r="C9" t="s">
        <v>7328</v>
      </c>
      <c r="D9" t="s">
        <v>9202</v>
      </c>
      <c r="E9" t="s">
        <v>9217</v>
      </c>
      <c r="F9" t="s">
        <v>9204</v>
      </c>
      <c r="G9" t="s">
        <v>9218</v>
      </c>
      <c r="H9">
        <v>-1.5</v>
      </c>
      <c r="L9" t="s">
        <v>7330</v>
      </c>
      <c r="M9" t="s">
        <v>7330</v>
      </c>
      <c r="N9" s="501">
        <v>2485</v>
      </c>
      <c r="O9" s="501"/>
      <c r="P9" s="501">
        <v>0</v>
      </c>
      <c r="Q9" s="501">
        <v>2485</v>
      </c>
      <c r="R9" t="s">
        <v>7329</v>
      </c>
      <c r="S9">
        <v>0</v>
      </c>
    </row>
    <row r="10" spans="1:19">
      <c r="A10" t="s">
        <v>9201</v>
      </c>
      <c r="B10">
        <v>103</v>
      </c>
      <c r="C10" t="s">
        <v>7328</v>
      </c>
      <c r="D10" t="s">
        <v>9202</v>
      </c>
      <c r="E10" t="s">
        <v>9219</v>
      </c>
      <c r="F10" t="s">
        <v>9204</v>
      </c>
      <c r="G10" t="s">
        <v>9220</v>
      </c>
      <c r="H10">
        <v>-1.75</v>
      </c>
      <c r="L10" t="s">
        <v>7330</v>
      </c>
      <c r="M10" t="s">
        <v>7330</v>
      </c>
      <c r="N10" s="501">
        <v>2390</v>
      </c>
      <c r="O10" s="501"/>
      <c r="P10" s="501">
        <v>0</v>
      </c>
      <c r="Q10" s="501">
        <v>2390</v>
      </c>
      <c r="R10" t="s">
        <v>7329</v>
      </c>
      <c r="S10">
        <v>0</v>
      </c>
    </row>
    <row r="11" spans="1:19">
      <c r="A11" t="s">
        <v>9201</v>
      </c>
      <c r="B11">
        <v>103</v>
      </c>
      <c r="C11" t="s">
        <v>7328</v>
      </c>
      <c r="D11" t="s">
        <v>9202</v>
      </c>
      <c r="E11" t="s">
        <v>9221</v>
      </c>
      <c r="F11" t="s">
        <v>9204</v>
      </c>
      <c r="G11" t="s">
        <v>9222</v>
      </c>
      <c r="H11">
        <v>-2</v>
      </c>
      <c r="L11" t="s">
        <v>7330</v>
      </c>
      <c r="M11" t="s">
        <v>7330</v>
      </c>
      <c r="N11" s="501">
        <v>3030</v>
      </c>
      <c r="O11" s="501"/>
      <c r="P11" s="501">
        <v>0</v>
      </c>
      <c r="Q11" s="501">
        <v>3030</v>
      </c>
      <c r="R11" t="s">
        <v>7329</v>
      </c>
      <c r="S11">
        <v>0</v>
      </c>
    </row>
    <row r="12" spans="1:19">
      <c r="A12" t="s">
        <v>9201</v>
      </c>
      <c r="B12">
        <v>103</v>
      </c>
      <c r="C12" t="s">
        <v>7328</v>
      </c>
      <c r="D12" t="s">
        <v>9202</v>
      </c>
      <c r="E12" t="s">
        <v>9223</v>
      </c>
      <c r="F12" t="s">
        <v>9204</v>
      </c>
      <c r="G12" t="s">
        <v>9224</v>
      </c>
      <c r="H12">
        <v>-2.25</v>
      </c>
      <c r="L12" t="s">
        <v>7330</v>
      </c>
      <c r="M12" t="s">
        <v>7330</v>
      </c>
      <c r="N12" s="501">
        <v>2925</v>
      </c>
      <c r="O12" s="501"/>
      <c r="P12" s="501">
        <v>0</v>
      </c>
      <c r="Q12" s="501">
        <v>2925</v>
      </c>
      <c r="R12" t="s">
        <v>7329</v>
      </c>
      <c r="S12">
        <v>0</v>
      </c>
    </row>
    <row r="13" spans="1:19">
      <c r="A13" t="s">
        <v>9201</v>
      </c>
      <c r="B13">
        <v>103</v>
      </c>
      <c r="C13" t="s">
        <v>7328</v>
      </c>
      <c r="D13" t="s">
        <v>9202</v>
      </c>
      <c r="E13" t="s">
        <v>9225</v>
      </c>
      <c r="F13" t="s">
        <v>9204</v>
      </c>
      <c r="G13" t="s">
        <v>9226</v>
      </c>
      <c r="H13">
        <v>-2.5</v>
      </c>
      <c r="L13" t="s">
        <v>7330</v>
      </c>
      <c r="M13" t="s">
        <v>7330</v>
      </c>
      <c r="N13" s="501">
        <v>3085</v>
      </c>
      <c r="O13" s="501"/>
      <c r="P13" s="501">
        <v>0</v>
      </c>
      <c r="Q13" s="501">
        <v>3085</v>
      </c>
      <c r="R13" t="s">
        <v>7329</v>
      </c>
      <c r="S13">
        <v>0</v>
      </c>
    </row>
    <row r="14" spans="1:19">
      <c r="A14" t="s">
        <v>9201</v>
      </c>
      <c r="B14">
        <v>103</v>
      </c>
      <c r="C14" t="s">
        <v>7328</v>
      </c>
      <c r="D14" t="s">
        <v>9202</v>
      </c>
      <c r="E14" t="s">
        <v>9227</v>
      </c>
      <c r="F14" t="s">
        <v>9204</v>
      </c>
      <c r="G14" t="s">
        <v>9228</v>
      </c>
      <c r="H14">
        <v>-2.75</v>
      </c>
      <c r="L14" t="s">
        <v>7330</v>
      </c>
      <c r="M14" t="s">
        <v>7330</v>
      </c>
      <c r="N14" s="501">
        <v>4515</v>
      </c>
      <c r="O14" s="501"/>
      <c r="P14" s="501">
        <v>0</v>
      </c>
      <c r="Q14" s="501">
        <v>4515</v>
      </c>
      <c r="R14" t="s">
        <v>7329</v>
      </c>
      <c r="S14">
        <v>0</v>
      </c>
    </row>
    <row r="15" spans="1:19">
      <c r="A15" t="s">
        <v>9201</v>
      </c>
      <c r="B15">
        <v>103</v>
      </c>
      <c r="C15" t="s">
        <v>7328</v>
      </c>
      <c r="D15" t="s">
        <v>9202</v>
      </c>
      <c r="E15" t="s">
        <v>9229</v>
      </c>
      <c r="F15" t="s">
        <v>9204</v>
      </c>
      <c r="G15" t="s">
        <v>9230</v>
      </c>
      <c r="H15">
        <v>-3</v>
      </c>
      <c r="L15" t="s">
        <v>7330</v>
      </c>
      <c r="M15" t="s">
        <v>7330</v>
      </c>
      <c r="N15" s="501">
        <v>3755</v>
      </c>
      <c r="O15" s="501"/>
      <c r="P15" s="501">
        <v>0</v>
      </c>
      <c r="Q15" s="501">
        <v>3755</v>
      </c>
      <c r="R15" t="s">
        <v>7329</v>
      </c>
      <c r="S15">
        <v>0</v>
      </c>
    </row>
    <row r="16" spans="1:19">
      <c r="A16" t="s">
        <v>9201</v>
      </c>
      <c r="B16">
        <v>103</v>
      </c>
      <c r="C16" t="s">
        <v>7328</v>
      </c>
      <c r="D16" t="s">
        <v>9202</v>
      </c>
      <c r="E16" t="s">
        <v>9231</v>
      </c>
      <c r="F16" t="s">
        <v>9204</v>
      </c>
      <c r="G16" t="s">
        <v>9232</v>
      </c>
      <c r="H16">
        <v>-3.25</v>
      </c>
      <c r="L16" t="s">
        <v>7330</v>
      </c>
      <c r="M16" t="s">
        <v>7330</v>
      </c>
      <c r="N16" s="501">
        <v>3900</v>
      </c>
      <c r="O16" s="501"/>
      <c r="P16" s="501">
        <v>0</v>
      </c>
      <c r="Q16" s="501">
        <v>3900</v>
      </c>
      <c r="R16" t="s">
        <v>7329</v>
      </c>
      <c r="S16">
        <v>0</v>
      </c>
    </row>
    <row r="17" spans="1:19">
      <c r="A17" t="s">
        <v>9201</v>
      </c>
      <c r="B17">
        <v>103</v>
      </c>
      <c r="C17" t="s">
        <v>7328</v>
      </c>
      <c r="D17" t="s">
        <v>9202</v>
      </c>
      <c r="E17" t="s">
        <v>9233</v>
      </c>
      <c r="F17" t="s">
        <v>9204</v>
      </c>
      <c r="G17" t="s">
        <v>9234</v>
      </c>
      <c r="H17">
        <v>-3.5</v>
      </c>
      <c r="L17" t="s">
        <v>7330</v>
      </c>
      <c r="M17" t="s">
        <v>7330</v>
      </c>
      <c r="N17" s="501">
        <v>4475</v>
      </c>
      <c r="O17" s="501"/>
      <c r="P17" s="501">
        <v>0</v>
      </c>
      <c r="Q17" s="501">
        <v>4475</v>
      </c>
      <c r="R17" t="s">
        <v>7329</v>
      </c>
      <c r="S17">
        <v>0</v>
      </c>
    </row>
    <row r="18" spans="1:19">
      <c r="A18" t="s">
        <v>9201</v>
      </c>
      <c r="B18">
        <v>103</v>
      </c>
      <c r="C18" t="s">
        <v>7328</v>
      </c>
      <c r="D18" t="s">
        <v>9202</v>
      </c>
      <c r="E18" t="s">
        <v>9235</v>
      </c>
      <c r="F18" t="s">
        <v>9204</v>
      </c>
      <c r="G18" t="s">
        <v>9236</v>
      </c>
      <c r="H18">
        <v>-3.75</v>
      </c>
      <c r="L18" t="s">
        <v>7330</v>
      </c>
      <c r="M18" t="s">
        <v>7330</v>
      </c>
      <c r="N18" s="501">
        <v>4315</v>
      </c>
      <c r="O18" s="501"/>
      <c r="P18" s="501">
        <v>0</v>
      </c>
      <c r="Q18" s="501">
        <v>4315</v>
      </c>
      <c r="R18" t="s">
        <v>7329</v>
      </c>
      <c r="S18">
        <v>0</v>
      </c>
    </row>
    <row r="19" spans="1:19">
      <c r="A19" t="s">
        <v>9201</v>
      </c>
      <c r="B19">
        <v>103</v>
      </c>
      <c r="C19" t="s">
        <v>7328</v>
      </c>
      <c r="D19" t="s">
        <v>9202</v>
      </c>
      <c r="E19" t="s">
        <v>9237</v>
      </c>
      <c r="F19" t="s">
        <v>9204</v>
      </c>
      <c r="G19" t="s">
        <v>9238</v>
      </c>
      <c r="H19">
        <v>-4</v>
      </c>
      <c r="L19" t="s">
        <v>7330</v>
      </c>
      <c r="M19" t="s">
        <v>7330</v>
      </c>
      <c r="N19" s="501">
        <v>3365</v>
      </c>
      <c r="O19" s="501"/>
      <c r="P19" s="501">
        <v>0</v>
      </c>
      <c r="Q19" s="501">
        <v>3365</v>
      </c>
      <c r="R19" t="s">
        <v>7329</v>
      </c>
      <c r="S19">
        <v>0</v>
      </c>
    </row>
    <row r="20" spans="1:19">
      <c r="A20" t="s">
        <v>9201</v>
      </c>
      <c r="B20">
        <v>103</v>
      </c>
      <c r="C20" t="s">
        <v>7328</v>
      </c>
      <c r="D20" t="s">
        <v>9202</v>
      </c>
      <c r="E20" t="s">
        <v>9239</v>
      </c>
      <c r="F20" t="s">
        <v>9204</v>
      </c>
      <c r="G20" t="s">
        <v>9240</v>
      </c>
      <c r="H20">
        <v>-4.25</v>
      </c>
      <c r="L20" t="s">
        <v>7330</v>
      </c>
      <c r="M20" t="s">
        <v>7330</v>
      </c>
      <c r="N20" s="501">
        <v>4480</v>
      </c>
      <c r="O20" s="501"/>
      <c r="P20" s="501">
        <v>0</v>
      </c>
      <c r="Q20" s="501">
        <v>4480</v>
      </c>
      <c r="R20" t="s">
        <v>7329</v>
      </c>
      <c r="S20">
        <v>0</v>
      </c>
    </row>
    <row r="21" spans="1:19">
      <c r="A21" t="s">
        <v>9201</v>
      </c>
      <c r="B21">
        <v>103</v>
      </c>
      <c r="C21" t="s">
        <v>7328</v>
      </c>
      <c r="D21" t="s">
        <v>9202</v>
      </c>
      <c r="E21" t="s">
        <v>9241</v>
      </c>
      <c r="F21" t="s">
        <v>9204</v>
      </c>
      <c r="G21" t="s">
        <v>9242</v>
      </c>
      <c r="H21">
        <v>-4.5</v>
      </c>
      <c r="L21" t="s">
        <v>7330</v>
      </c>
      <c r="M21" t="s">
        <v>7330</v>
      </c>
      <c r="N21" s="501">
        <v>3130</v>
      </c>
      <c r="O21" s="501"/>
      <c r="P21" s="501">
        <v>0</v>
      </c>
      <c r="Q21" s="501">
        <v>3130</v>
      </c>
      <c r="R21" t="s">
        <v>7329</v>
      </c>
      <c r="S21">
        <v>0</v>
      </c>
    </row>
    <row r="22" spans="1:19">
      <c r="A22" t="s">
        <v>9201</v>
      </c>
      <c r="B22">
        <v>103</v>
      </c>
      <c r="C22" t="s">
        <v>7328</v>
      </c>
      <c r="D22" t="s">
        <v>9202</v>
      </c>
      <c r="E22" t="s">
        <v>9243</v>
      </c>
      <c r="F22" t="s">
        <v>9204</v>
      </c>
      <c r="G22" t="s">
        <v>9244</v>
      </c>
      <c r="H22">
        <v>-4.75</v>
      </c>
      <c r="L22" t="s">
        <v>7330</v>
      </c>
      <c r="M22" t="s">
        <v>7330</v>
      </c>
      <c r="N22" s="501">
        <v>2585</v>
      </c>
      <c r="O22" s="501"/>
      <c r="P22" s="501">
        <v>0</v>
      </c>
      <c r="Q22" s="501">
        <v>2585</v>
      </c>
      <c r="R22" t="s">
        <v>7329</v>
      </c>
      <c r="S22">
        <v>0</v>
      </c>
    </row>
    <row r="23" spans="1:19">
      <c r="A23" t="s">
        <v>9201</v>
      </c>
      <c r="B23">
        <v>103</v>
      </c>
      <c r="C23" t="s">
        <v>7328</v>
      </c>
      <c r="D23" t="s">
        <v>9202</v>
      </c>
      <c r="E23" t="s">
        <v>9245</v>
      </c>
      <c r="F23" t="s">
        <v>9204</v>
      </c>
      <c r="G23" t="s">
        <v>9246</v>
      </c>
      <c r="H23">
        <v>-5</v>
      </c>
      <c r="L23" t="s">
        <v>7330</v>
      </c>
      <c r="M23" t="s">
        <v>7330</v>
      </c>
      <c r="N23" s="501">
        <v>4470</v>
      </c>
      <c r="O23" s="501"/>
      <c r="P23" s="501">
        <v>0</v>
      </c>
      <c r="Q23" s="501">
        <v>4470</v>
      </c>
      <c r="R23" t="s">
        <v>7329</v>
      </c>
      <c r="S23">
        <v>0</v>
      </c>
    </row>
    <row r="24" spans="1:19">
      <c r="A24" t="s">
        <v>9201</v>
      </c>
      <c r="B24">
        <v>103</v>
      </c>
      <c r="C24" t="s">
        <v>7328</v>
      </c>
      <c r="D24" t="s">
        <v>9202</v>
      </c>
      <c r="E24" t="s">
        <v>9247</v>
      </c>
      <c r="F24" t="s">
        <v>9204</v>
      </c>
      <c r="G24" t="s">
        <v>9248</v>
      </c>
      <c r="H24">
        <v>-5.25</v>
      </c>
      <c r="L24" t="s">
        <v>7330</v>
      </c>
      <c r="M24" t="s">
        <v>7330</v>
      </c>
      <c r="N24" s="501">
        <v>1785</v>
      </c>
      <c r="O24" s="501"/>
      <c r="P24" s="501">
        <v>0</v>
      </c>
      <c r="Q24" s="501">
        <v>1785</v>
      </c>
      <c r="R24" t="s">
        <v>7329</v>
      </c>
      <c r="S24">
        <v>0</v>
      </c>
    </row>
    <row r="25" spans="1:19">
      <c r="A25" t="s">
        <v>9201</v>
      </c>
      <c r="B25">
        <v>103</v>
      </c>
      <c r="C25" t="s">
        <v>7328</v>
      </c>
      <c r="D25" t="s">
        <v>9202</v>
      </c>
      <c r="E25" t="s">
        <v>9249</v>
      </c>
      <c r="F25" t="s">
        <v>9204</v>
      </c>
      <c r="G25" t="s">
        <v>9250</v>
      </c>
      <c r="H25">
        <v>-5.5</v>
      </c>
      <c r="L25" t="s">
        <v>7330</v>
      </c>
      <c r="M25" t="s">
        <v>7330</v>
      </c>
      <c r="N25" s="501">
        <v>4615</v>
      </c>
      <c r="O25" s="501"/>
      <c r="P25" s="501">
        <v>0</v>
      </c>
      <c r="Q25" s="501">
        <v>4615</v>
      </c>
      <c r="R25" t="s">
        <v>7329</v>
      </c>
      <c r="S25">
        <v>0</v>
      </c>
    </row>
    <row r="26" spans="1:19">
      <c r="A26" t="s">
        <v>9201</v>
      </c>
      <c r="B26">
        <v>103</v>
      </c>
      <c r="C26" t="s">
        <v>7328</v>
      </c>
      <c r="D26" t="s">
        <v>9202</v>
      </c>
      <c r="E26" t="s">
        <v>9251</v>
      </c>
      <c r="F26" t="s">
        <v>9204</v>
      </c>
      <c r="G26" t="s">
        <v>9252</v>
      </c>
      <c r="H26">
        <v>-5.75</v>
      </c>
      <c r="L26" t="s">
        <v>7330</v>
      </c>
      <c r="M26" t="s">
        <v>7330</v>
      </c>
      <c r="N26" s="501">
        <v>1975</v>
      </c>
      <c r="O26" s="501"/>
      <c r="P26" s="501">
        <v>0</v>
      </c>
      <c r="Q26" s="501">
        <v>1975</v>
      </c>
      <c r="R26" t="s">
        <v>7329</v>
      </c>
      <c r="S26">
        <v>0</v>
      </c>
    </row>
    <row r="27" spans="1:19">
      <c r="A27" t="s">
        <v>9201</v>
      </c>
      <c r="B27">
        <v>103</v>
      </c>
      <c r="C27" t="s">
        <v>7328</v>
      </c>
      <c r="D27" t="s">
        <v>9202</v>
      </c>
      <c r="E27" t="s">
        <v>9253</v>
      </c>
      <c r="F27" t="s">
        <v>9204</v>
      </c>
      <c r="G27" t="s">
        <v>9254</v>
      </c>
      <c r="H27">
        <v>-6</v>
      </c>
      <c r="L27" t="s">
        <v>7330</v>
      </c>
      <c r="M27" t="s">
        <v>7330</v>
      </c>
      <c r="N27" s="501">
        <v>3990</v>
      </c>
      <c r="O27" s="501"/>
      <c r="P27" s="501">
        <v>0</v>
      </c>
      <c r="Q27" s="501">
        <v>3990</v>
      </c>
      <c r="R27" t="s">
        <v>7329</v>
      </c>
      <c r="S27">
        <v>0</v>
      </c>
    </row>
    <row r="28" spans="1:19">
      <c r="A28" t="s">
        <v>9201</v>
      </c>
      <c r="B28">
        <v>103</v>
      </c>
      <c r="C28" t="s">
        <v>7328</v>
      </c>
      <c r="D28" t="s">
        <v>9202</v>
      </c>
      <c r="E28" t="s">
        <v>9255</v>
      </c>
      <c r="F28" t="s">
        <v>9204</v>
      </c>
      <c r="G28" t="s">
        <v>9256</v>
      </c>
      <c r="H28">
        <v>-6.5</v>
      </c>
      <c r="L28" t="s">
        <v>7330</v>
      </c>
      <c r="M28" t="s">
        <v>7330</v>
      </c>
      <c r="N28" s="501">
        <v>3500</v>
      </c>
      <c r="O28" s="501">
        <v>40</v>
      </c>
      <c r="P28" s="501">
        <v>0</v>
      </c>
      <c r="Q28" s="501">
        <v>3540</v>
      </c>
      <c r="R28" t="s">
        <v>7329</v>
      </c>
      <c r="S28">
        <v>0</v>
      </c>
    </row>
    <row r="29" spans="1:19">
      <c r="A29" t="s">
        <v>9201</v>
      </c>
      <c r="B29">
        <v>103</v>
      </c>
      <c r="C29" t="s">
        <v>7328</v>
      </c>
      <c r="D29" t="s">
        <v>9202</v>
      </c>
      <c r="E29" t="s">
        <v>9257</v>
      </c>
      <c r="F29" t="s">
        <v>9204</v>
      </c>
      <c r="G29" t="s">
        <v>9258</v>
      </c>
      <c r="H29">
        <v>-7</v>
      </c>
      <c r="L29" t="s">
        <v>7330</v>
      </c>
      <c r="M29" t="s">
        <v>7330</v>
      </c>
      <c r="N29" s="501">
        <v>3075</v>
      </c>
      <c r="O29" s="501"/>
      <c r="P29" s="501">
        <v>0</v>
      </c>
      <c r="Q29" s="501">
        <v>3075</v>
      </c>
      <c r="R29" t="s">
        <v>7329</v>
      </c>
      <c r="S29">
        <v>0</v>
      </c>
    </row>
    <row r="30" spans="1:19">
      <c r="A30" t="s">
        <v>9201</v>
      </c>
      <c r="B30">
        <v>103</v>
      </c>
      <c r="C30" t="s">
        <v>7328</v>
      </c>
      <c r="D30" t="s">
        <v>9202</v>
      </c>
      <c r="E30" t="s">
        <v>9259</v>
      </c>
      <c r="F30" t="s">
        <v>9204</v>
      </c>
      <c r="G30" t="s">
        <v>9260</v>
      </c>
      <c r="H30">
        <v>-7.5</v>
      </c>
      <c r="L30" t="s">
        <v>7330</v>
      </c>
      <c r="M30" t="s">
        <v>7330</v>
      </c>
      <c r="N30" s="501">
        <v>2315</v>
      </c>
      <c r="O30" s="501"/>
      <c r="P30" s="501">
        <v>0</v>
      </c>
      <c r="Q30" s="501">
        <v>2315</v>
      </c>
      <c r="R30" t="s">
        <v>7329</v>
      </c>
      <c r="S30">
        <v>0</v>
      </c>
    </row>
    <row r="31" spans="1:19">
      <c r="A31" t="s">
        <v>9201</v>
      </c>
      <c r="B31">
        <v>103</v>
      </c>
      <c r="C31" t="s">
        <v>7328</v>
      </c>
      <c r="D31" t="s">
        <v>9202</v>
      </c>
      <c r="E31" t="s">
        <v>9261</v>
      </c>
      <c r="F31" t="s">
        <v>9204</v>
      </c>
      <c r="G31" t="s">
        <v>9262</v>
      </c>
      <c r="H31">
        <v>-8</v>
      </c>
      <c r="L31" t="s">
        <v>7330</v>
      </c>
      <c r="M31" t="s">
        <v>7330</v>
      </c>
      <c r="N31" s="501">
        <v>2250</v>
      </c>
      <c r="O31" s="501"/>
      <c r="P31" s="501">
        <v>0</v>
      </c>
      <c r="Q31" s="501">
        <v>2250</v>
      </c>
      <c r="R31" t="s">
        <v>7329</v>
      </c>
      <c r="S31">
        <v>0</v>
      </c>
    </row>
    <row r="32" spans="1:19">
      <c r="A32" t="s">
        <v>9201</v>
      </c>
      <c r="B32">
        <v>103</v>
      </c>
      <c r="C32" t="s">
        <v>7328</v>
      </c>
      <c r="D32" t="s">
        <v>9202</v>
      </c>
      <c r="E32" t="s">
        <v>9263</v>
      </c>
      <c r="F32" t="s">
        <v>9204</v>
      </c>
      <c r="G32" t="s">
        <v>9264</v>
      </c>
      <c r="H32">
        <v>-8.5</v>
      </c>
      <c r="L32" t="s">
        <v>7330</v>
      </c>
      <c r="M32" t="s">
        <v>7330</v>
      </c>
      <c r="N32" s="501">
        <v>940</v>
      </c>
      <c r="O32" s="501"/>
      <c r="P32" s="501">
        <v>0</v>
      </c>
      <c r="Q32" s="501">
        <v>940</v>
      </c>
      <c r="R32" t="s">
        <v>7329</v>
      </c>
      <c r="S32">
        <v>0</v>
      </c>
    </row>
    <row r="33" spans="1:19">
      <c r="A33" t="s">
        <v>9201</v>
      </c>
      <c r="B33">
        <v>103</v>
      </c>
      <c r="C33" t="s">
        <v>7328</v>
      </c>
      <c r="D33" t="s">
        <v>9202</v>
      </c>
      <c r="E33" t="s">
        <v>9265</v>
      </c>
      <c r="F33" t="s">
        <v>9204</v>
      </c>
      <c r="G33" t="s">
        <v>9266</v>
      </c>
      <c r="H33">
        <v>-9</v>
      </c>
      <c r="L33" t="s">
        <v>7330</v>
      </c>
      <c r="M33" t="s">
        <v>7330</v>
      </c>
      <c r="N33" s="501">
        <v>435</v>
      </c>
      <c r="O33" s="501"/>
      <c r="P33" s="501">
        <v>0</v>
      </c>
      <c r="Q33" s="501">
        <v>435</v>
      </c>
      <c r="R33" t="s">
        <v>7329</v>
      </c>
      <c r="S33">
        <v>0</v>
      </c>
    </row>
    <row r="34" spans="1:19">
      <c r="A34" t="s">
        <v>9201</v>
      </c>
      <c r="B34">
        <v>103</v>
      </c>
      <c r="C34" t="s">
        <v>7328</v>
      </c>
      <c r="D34" t="s">
        <v>9202</v>
      </c>
      <c r="E34" t="s">
        <v>9267</v>
      </c>
      <c r="F34" t="s">
        <v>9204</v>
      </c>
      <c r="G34" t="s">
        <v>9268</v>
      </c>
      <c r="H34">
        <v>-9.5</v>
      </c>
      <c r="L34" t="s">
        <v>7330</v>
      </c>
      <c r="M34" t="s">
        <v>7330</v>
      </c>
      <c r="N34" s="501">
        <v>375</v>
      </c>
      <c r="O34" s="501"/>
      <c r="P34" s="501">
        <v>0</v>
      </c>
      <c r="Q34" s="501">
        <v>375</v>
      </c>
      <c r="R34" t="s">
        <v>7329</v>
      </c>
      <c r="S34">
        <v>0</v>
      </c>
    </row>
    <row r="35" spans="1:19">
      <c r="A35" t="s">
        <v>9201</v>
      </c>
      <c r="B35">
        <v>103</v>
      </c>
      <c r="C35" t="s">
        <v>7328</v>
      </c>
      <c r="D35" t="s">
        <v>9202</v>
      </c>
      <c r="E35" t="s">
        <v>9269</v>
      </c>
      <c r="F35" t="s">
        <v>9204</v>
      </c>
      <c r="G35" t="s">
        <v>9270</v>
      </c>
      <c r="H35">
        <v>-10</v>
      </c>
      <c r="L35" t="s">
        <v>7330</v>
      </c>
      <c r="M35" t="s">
        <v>7330</v>
      </c>
      <c r="N35" s="501">
        <v>635</v>
      </c>
      <c r="O35" s="501"/>
      <c r="P35" s="501">
        <v>0</v>
      </c>
      <c r="Q35" s="501">
        <v>635</v>
      </c>
      <c r="R35" t="s">
        <v>7329</v>
      </c>
      <c r="S35">
        <v>0</v>
      </c>
    </row>
    <row r="36" spans="1:19">
      <c r="A36" t="s">
        <v>9201</v>
      </c>
      <c r="B36">
        <v>103</v>
      </c>
      <c r="C36" t="s">
        <v>7328</v>
      </c>
      <c r="D36" t="s">
        <v>9271</v>
      </c>
      <c r="E36" t="s">
        <v>9272</v>
      </c>
      <c r="F36" t="s">
        <v>9273</v>
      </c>
      <c r="G36" t="s">
        <v>9274</v>
      </c>
      <c r="H36">
        <v>0</v>
      </c>
      <c r="L36" t="s">
        <v>7330</v>
      </c>
      <c r="M36" t="s">
        <v>7330</v>
      </c>
      <c r="N36" s="501">
        <v>180</v>
      </c>
      <c r="O36" s="501"/>
      <c r="P36" s="501">
        <v>0</v>
      </c>
      <c r="Q36" s="501">
        <v>180</v>
      </c>
      <c r="R36" t="s">
        <v>7329</v>
      </c>
      <c r="S36">
        <v>0</v>
      </c>
    </row>
    <row r="37" spans="1:19">
      <c r="A37" t="s">
        <v>9201</v>
      </c>
      <c r="B37">
        <v>103</v>
      </c>
      <c r="C37" t="s">
        <v>7328</v>
      </c>
      <c r="D37" t="s">
        <v>9271</v>
      </c>
      <c r="E37" t="s">
        <v>9275</v>
      </c>
      <c r="F37" t="s">
        <v>9273</v>
      </c>
      <c r="G37" t="s">
        <v>9276</v>
      </c>
      <c r="H37">
        <v>-0.5</v>
      </c>
      <c r="L37" t="s">
        <v>7330</v>
      </c>
      <c r="M37" t="s">
        <v>7330</v>
      </c>
      <c r="N37" s="501">
        <v>35</v>
      </c>
      <c r="O37" s="501"/>
      <c r="P37" s="501">
        <v>0</v>
      </c>
      <c r="Q37" s="501">
        <v>35</v>
      </c>
      <c r="R37" t="s">
        <v>7329</v>
      </c>
      <c r="S37">
        <v>0</v>
      </c>
    </row>
    <row r="38" spans="1:19">
      <c r="A38" t="s">
        <v>9201</v>
      </c>
      <c r="B38">
        <v>103</v>
      </c>
      <c r="C38" t="s">
        <v>7328</v>
      </c>
      <c r="D38" t="s">
        <v>9271</v>
      </c>
      <c r="E38" t="s">
        <v>9277</v>
      </c>
      <c r="F38" t="s">
        <v>9273</v>
      </c>
      <c r="G38" t="s">
        <v>9278</v>
      </c>
      <c r="H38">
        <v>-0.75</v>
      </c>
      <c r="L38" t="s">
        <v>7330</v>
      </c>
      <c r="M38" t="s">
        <v>7330</v>
      </c>
      <c r="N38" s="501">
        <v>50</v>
      </c>
      <c r="O38" s="501"/>
      <c r="P38" s="501">
        <v>0</v>
      </c>
      <c r="Q38" s="501">
        <v>50</v>
      </c>
      <c r="R38" t="s">
        <v>7329</v>
      </c>
      <c r="S38">
        <v>0</v>
      </c>
    </row>
    <row r="39" spans="1:19">
      <c r="A39" t="s">
        <v>9201</v>
      </c>
      <c r="B39">
        <v>103</v>
      </c>
      <c r="C39" t="s">
        <v>7328</v>
      </c>
      <c r="D39" t="s">
        <v>9271</v>
      </c>
      <c r="E39" t="s">
        <v>9279</v>
      </c>
      <c r="F39" t="s">
        <v>9273</v>
      </c>
      <c r="G39" t="s">
        <v>9280</v>
      </c>
      <c r="H39">
        <v>-1</v>
      </c>
      <c r="L39" t="s">
        <v>7330</v>
      </c>
      <c r="M39" t="s">
        <v>7330</v>
      </c>
      <c r="N39" s="501">
        <v>30</v>
      </c>
      <c r="O39" s="501"/>
      <c r="P39" s="501">
        <v>0</v>
      </c>
      <c r="Q39" s="501">
        <v>30</v>
      </c>
      <c r="R39" t="s">
        <v>7329</v>
      </c>
      <c r="S39">
        <v>0</v>
      </c>
    </row>
    <row r="40" spans="1:19">
      <c r="A40" t="s">
        <v>9201</v>
      </c>
      <c r="B40">
        <v>103</v>
      </c>
      <c r="C40" t="s">
        <v>7328</v>
      </c>
      <c r="D40" t="s">
        <v>9271</v>
      </c>
      <c r="E40" t="s">
        <v>9281</v>
      </c>
      <c r="F40" t="s">
        <v>9273</v>
      </c>
      <c r="G40" t="s">
        <v>9282</v>
      </c>
      <c r="H40">
        <v>-1.25</v>
      </c>
      <c r="L40" t="s">
        <v>7330</v>
      </c>
      <c r="M40" t="s">
        <v>7330</v>
      </c>
      <c r="N40" s="501">
        <v>310</v>
      </c>
      <c r="O40" s="501"/>
      <c r="P40" s="501">
        <v>0</v>
      </c>
      <c r="Q40" s="501">
        <v>310</v>
      </c>
      <c r="R40" t="s">
        <v>7329</v>
      </c>
      <c r="S40">
        <v>0</v>
      </c>
    </row>
    <row r="41" spans="1:19">
      <c r="A41" t="s">
        <v>9201</v>
      </c>
      <c r="B41">
        <v>103</v>
      </c>
      <c r="C41" t="s">
        <v>7328</v>
      </c>
      <c r="D41" t="s">
        <v>9271</v>
      </c>
      <c r="E41" t="s">
        <v>9283</v>
      </c>
      <c r="F41" t="s">
        <v>9273</v>
      </c>
      <c r="G41" t="s">
        <v>9284</v>
      </c>
      <c r="H41">
        <v>-1.5</v>
      </c>
      <c r="L41" t="s">
        <v>7330</v>
      </c>
      <c r="M41" t="s">
        <v>7330</v>
      </c>
      <c r="N41" s="501">
        <v>600</v>
      </c>
      <c r="P41">
        <v>0</v>
      </c>
      <c r="Q41" s="501">
        <v>600</v>
      </c>
      <c r="R41" t="s">
        <v>7329</v>
      </c>
      <c r="S41">
        <v>0</v>
      </c>
    </row>
    <row r="42" spans="1:19">
      <c r="A42" t="s">
        <v>9201</v>
      </c>
      <c r="B42">
        <v>103</v>
      </c>
      <c r="C42" t="s">
        <v>7328</v>
      </c>
      <c r="D42" t="s">
        <v>9271</v>
      </c>
      <c r="E42" t="s">
        <v>9285</v>
      </c>
      <c r="F42" t="s">
        <v>9273</v>
      </c>
      <c r="G42" t="s">
        <v>9286</v>
      </c>
      <c r="H42">
        <v>-1.75</v>
      </c>
      <c r="L42" t="s">
        <v>7330</v>
      </c>
      <c r="M42" t="s">
        <v>7330</v>
      </c>
      <c r="N42" s="501">
        <v>55</v>
      </c>
      <c r="P42">
        <v>0</v>
      </c>
      <c r="Q42" s="501">
        <v>55</v>
      </c>
      <c r="R42" t="s">
        <v>7329</v>
      </c>
      <c r="S42">
        <v>0</v>
      </c>
    </row>
    <row r="43" spans="1:19">
      <c r="A43" t="s">
        <v>9201</v>
      </c>
      <c r="B43">
        <v>103</v>
      </c>
      <c r="C43" t="s">
        <v>7328</v>
      </c>
      <c r="D43" t="s">
        <v>9271</v>
      </c>
      <c r="E43" t="s">
        <v>9287</v>
      </c>
      <c r="F43" t="s">
        <v>9273</v>
      </c>
      <c r="G43" t="s">
        <v>9288</v>
      </c>
      <c r="H43">
        <v>-2</v>
      </c>
      <c r="L43" t="s">
        <v>7330</v>
      </c>
      <c r="M43" t="s">
        <v>7330</v>
      </c>
      <c r="N43" s="501">
        <v>91</v>
      </c>
      <c r="P43">
        <v>0</v>
      </c>
      <c r="Q43" s="501">
        <v>91</v>
      </c>
      <c r="R43" t="s">
        <v>7329</v>
      </c>
      <c r="S43">
        <v>0</v>
      </c>
    </row>
    <row r="44" spans="1:19">
      <c r="A44" t="s">
        <v>9201</v>
      </c>
      <c r="B44">
        <v>103</v>
      </c>
      <c r="C44" t="s">
        <v>7328</v>
      </c>
      <c r="D44" t="s">
        <v>9271</v>
      </c>
      <c r="E44" t="s">
        <v>9289</v>
      </c>
      <c r="F44" t="s">
        <v>9273</v>
      </c>
      <c r="G44" t="s">
        <v>9290</v>
      </c>
      <c r="H44">
        <v>-2.25</v>
      </c>
      <c r="L44" t="s">
        <v>7330</v>
      </c>
      <c r="M44" t="s">
        <v>7330</v>
      </c>
      <c r="N44" s="501">
        <v>75</v>
      </c>
      <c r="P44">
        <v>0</v>
      </c>
      <c r="Q44" s="501">
        <v>75</v>
      </c>
      <c r="R44" t="s">
        <v>7329</v>
      </c>
      <c r="S44">
        <v>0</v>
      </c>
    </row>
    <row r="45" spans="1:19">
      <c r="A45" t="s">
        <v>9201</v>
      </c>
      <c r="B45">
        <v>103</v>
      </c>
      <c r="C45" t="s">
        <v>7328</v>
      </c>
      <c r="D45" t="s">
        <v>9271</v>
      </c>
      <c r="E45" t="s">
        <v>9291</v>
      </c>
      <c r="F45" t="s">
        <v>9273</v>
      </c>
      <c r="G45" t="s">
        <v>9292</v>
      </c>
      <c r="H45">
        <v>-2.5</v>
      </c>
      <c r="L45" t="s">
        <v>7330</v>
      </c>
      <c r="M45" t="s">
        <v>7330</v>
      </c>
      <c r="N45" s="501">
        <v>50</v>
      </c>
      <c r="P45">
        <v>0</v>
      </c>
      <c r="Q45" s="501">
        <v>50</v>
      </c>
      <c r="R45" t="s">
        <v>7329</v>
      </c>
      <c r="S45">
        <v>0</v>
      </c>
    </row>
    <row r="46" spans="1:19">
      <c r="A46" t="s">
        <v>9201</v>
      </c>
      <c r="B46">
        <v>103</v>
      </c>
      <c r="C46" t="s">
        <v>7328</v>
      </c>
      <c r="D46" t="s">
        <v>9271</v>
      </c>
      <c r="E46" t="s">
        <v>9293</v>
      </c>
      <c r="F46" t="s">
        <v>9273</v>
      </c>
      <c r="G46" t="s">
        <v>9294</v>
      </c>
      <c r="H46">
        <v>-2.75</v>
      </c>
      <c r="L46" t="s">
        <v>7330</v>
      </c>
      <c r="M46" t="s">
        <v>7330</v>
      </c>
      <c r="N46" s="501">
        <v>75</v>
      </c>
      <c r="P46">
        <v>0</v>
      </c>
      <c r="Q46" s="501">
        <v>75</v>
      </c>
      <c r="R46" t="s">
        <v>7329</v>
      </c>
      <c r="S46">
        <v>0</v>
      </c>
    </row>
    <row r="47" spans="1:19">
      <c r="A47" t="s">
        <v>9201</v>
      </c>
      <c r="B47">
        <v>103</v>
      </c>
      <c r="C47" t="s">
        <v>7328</v>
      </c>
      <c r="D47" t="s">
        <v>9271</v>
      </c>
      <c r="E47" t="s">
        <v>9295</v>
      </c>
      <c r="F47" t="s">
        <v>9273</v>
      </c>
      <c r="G47" t="s">
        <v>9296</v>
      </c>
      <c r="H47">
        <v>-3</v>
      </c>
      <c r="L47" t="s">
        <v>7330</v>
      </c>
      <c r="M47" t="s">
        <v>7330</v>
      </c>
      <c r="N47" s="501">
        <v>35</v>
      </c>
      <c r="P47">
        <v>0</v>
      </c>
      <c r="Q47" s="501">
        <v>35</v>
      </c>
      <c r="R47" t="s">
        <v>7329</v>
      </c>
      <c r="S47">
        <v>0</v>
      </c>
    </row>
    <row r="48" spans="1:19">
      <c r="A48" t="s">
        <v>9201</v>
      </c>
      <c r="B48">
        <v>103</v>
      </c>
      <c r="C48" t="s">
        <v>7328</v>
      </c>
      <c r="D48" t="s">
        <v>9271</v>
      </c>
      <c r="E48" t="s">
        <v>9297</v>
      </c>
      <c r="F48" t="s">
        <v>9273</v>
      </c>
      <c r="G48" t="s">
        <v>9298</v>
      </c>
      <c r="H48">
        <v>-3.25</v>
      </c>
      <c r="L48" t="s">
        <v>7330</v>
      </c>
      <c r="M48" t="s">
        <v>7330</v>
      </c>
      <c r="N48" s="501">
        <v>192</v>
      </c>
      <c r="P48">
        <v>0</v>
      </c>
      <c r="Q48" s="501">
        <v>192</v>
      </c>
      <c r="R48" t="s">
        <v>7329</v>
      </c>
      <c r="S48">
        <v>0</v>
      </c>
    </row>
    <row r="49" spans="1:19">
      <c r="A49" t="s">
        <v>9201</v>
      </c>
      <c r="B49">
        <v>103</v>
      </c>
      <c r="C49" t="s">
        <v>7328</v>
      </c>
      <c r="D49" t="s">
        <v>9271</v>
      </c>
      <c r="E49" t="s">
        <v>9299</v>
      </c>
      <c r="F49" t="s">
        <v>9273</v>
      </c>
      <c r="G49" t="s">
        <v>9300</v>
      </c>
      <c r="H49">
        <v>-3.5</v>
      </c>
      <c r="L49" t="s">
        <v>7330</v>
      </c>
      <c r="M49" t="s">
        <v>7330</v>
      </c>
      <c r="N49" s="501">
        <v>270</v>
      </c>
      <c r="P49">
        <v>0</v>
      </c>
      <c r="Q49" s="501">
        <v>270</v>
      </c>
      <c r="R49" t="s">
        <v>7329</v>
      </c>
      <c r="S49">
        <v>0</v>
      </c>
    </row>
    <row r="50" spans="1:19">
      <c r="A50" t="s">
        <v>9201</v>
      </c>
      <c r="B50">
        <v>103</v>
      </c>
      <c r="C50" t="s">
        <v>7328</v>
      </c>
      <c r="D50" t="s">
        <v>9271</v>
      </c>
      <c r="E50" t="s">
        <v>9301</v>
      </c>
      <c r="F50" t="s">
        <v>9273</v>
      </c>
      <c r="G50" t="s">
        <v>9302</v>
      </c>
      <c r="H50">
        <v>-3.75</v>
      </c>
      <c r="L50" t="s">
        <v>7330</v>
      </c>
      <c r="M50" t="s">
        <v>7330</v>
      </c>
      <c r="N50" s="501">
        <v>115</v>
      </c>
      <c r="P50">
        <v>0</v>
      </c>
      <c r="Q50" s="501">
        <v>115</v>
      </c>
      <c r="R50" t="s">
        <v>7329</v>
      </c>
      <c r="S50">
        <v>0</v>
      </c>
    </row>
    <row r="51" spans="1:19">
      <c r="A51" t="s">
        <v>9201</v>
      </c>
      <c r="B51">
        <v>103</v>
      </c>
      <c r="C51" t="s">
        <v>7328</v>
      </c>
      <c r="D51" t="s">
        <v>9271</v>
      </c>
      <c r="E51" t="s">
        <v>9303</v>
      </c>
      <c r="F51" t="s">
        <v>9273</v>
      </c>
      <c r="G51" t="s">
        <v>9304</v>
      </c>
      <c r="H51">
        <v>-4</v>
      </c>
      <c r="L51" t="s">
        <v>7330</v>
      </c>
      <c r="M51" t="s">
        <v>7330</v>
      </c>
      <c r="N51" s="501">
        <v>40</v>
      </c>
      <c r="P51">
        <v>0</v>
      </c>
      <c r="Q51" s="501">
        <v>40</v>
      </c>
      <c r="R51" t="s">
        <v>7329</v>
      </c>
      <c r="S51">
        <v>0</v>
      </c>
    </row>
    <row r="52" spans="1:19">
      <c r="A52" t="s">
        <v>9201</v>
      </c>
      <c r="B52">
        <v>103</v>
      </c>
      <c r="C52" t="s">
        <v>7328</v>
      </c>
      <c r="D52" t="s">
        <v>9271</v>
      </c>
      <c r="E52" t="s">
        <v>9305</v>
      </c>
      <c r="F52" t="s">
        <v>9273</v>
      </c>
      <c r="G52" t="s">
        <v>9306</v>
      </c>
      <c r="H52">
        <v>-4.5</v>
      </c>
      <c r="L52" t="s">
        <v>7330</v>
      </c>
      <c r="M52" t="s">
        <v>7330</v>
      </c>
      <c r="N52" s="501">
        <v>525</v>
      </c>
      <c r="P52">
        <v>0</v>
      </c>
      <c r="Q52" s="501">
        <v>525</v>
      </c>
      <c r="R52" t="s">
        <v>7329</v>
      </c>
      <c r="S52">
        <v>0</v>
      </c>
    </row>
    <row r="53" spans="1:19">
      <c r="A53" t="s">
        <v>9201</v>
      </c>
      <c r="B53">
        <v>103</v>
      </c>
      <c r="C53" t="s">
        <v>7328</v>
      </c>
      <c r="D53" t="s">
        <v>9271</v>
      </c>
      <c r="E53" t="s">
        <v>9307</v>
      </c>
      <c r="F53" t="s">
        <v>9273</v>
      </c>
      <c r="G53" t="s">
        <v>9308</v>
      </c>
      <c r="H53">
        <v>-4.75</v>
      </c>
      <c r="L53" t="s">
        <v>7330</v>
      </c>
      <c r="M53" t="s">
        <v>7330</v>
      </c>
      <c r="N53" s="501">
        <v>340</v>
      </c>
      <c r="P53">
        <v>0</v>
      </c>
      <c r="Q53" s="501">
        <v>340</v>
      </c>
      <c r="R53" t="s">
        <v>7329</v>
      </c>
      <c r="S53">
        <v>0</v>
      </c>
    </row>
    <row r="54" spans="1:19">
      <c r="A54" t="s">
        <v>9201</v>
      </c>
      <c r="B54">
        <v>103</v>
      </c>
      <c r="C54" t="s">
        <v>7328</v>
      </c>
      <c r="D54" t="s">
        <v>9271</v>
      </c>
      <c r="E54" t="s">
        <v>9309</v>
      </c>
      <c r="F54" t="s">
        <v>9273</v>
      </c>
      <c r="G54" t="s">
        <v>9310</v>
      </c>
      <c r="H54">
        <v>-5</v>
      </c>
      <c r="L54" t="s">
        <v>7330</v>
      </c>
      <c r="M54" t="s">
        <v>7330</v>
      </c>
      <c r="N54" s="501">
        <v>55</v>
      </c>
      <c r="P54">
        <v>0</v>
      </c>
      <c r="Q54" s="501">
        <v>55</v>
      </c>
      <c r="R54" t="s">
        <v>7329</v>
      </c>
      <c r="S54">
        <v>0</v>
      </c>
    </row>
    <row r="55" spans="1:19">
      <c r="A55" t="s">
        <v>9201</v>
      </c>
      <c r="B55">
        <v>103</v>
      </c>
      <c r="C55" t="s">
        <v>7328</v>
      </c>
      <c r="D55" t="s">
        <v>9271</v>
      </c>
      <c r="E55" t="s">
        <v>9311</v>
      </c>
      <c r="F55" t="s">
        <v>9273</v>
      </c>
      <c r="G55" t="s">
        <v>9312</v>
      </c>
      <c r="H55">
        <v>-5.25</v>
      </c>
      <c r="L55" t="s">
        <v>7330</v>
      </c>
      <c r="M55" t="s">
        <v>7330</v>
      </c>
      <c r="N55" s="501">
        <v>340</v>
      </c>
      <c r="P55">
        <v>0</v>
      </c>
      <c r="Q55" s="501">
        <v>340</v>
      </c>
      <c r="R55" t="s">
        <v>7329</v>
      </c>
      <c r="S55">
        <v>0</v>
      </c>
    </row>
    <row r="56" spans="1:19">
      <c r="A56" t="s">
        <v>9201</v>
      </c>
      <c r="B56">
        <v>103</v>
      </c>
      <c r="C56" t="s">
        <v>7328</v>
      </c>
      <c r="D56" t="s">
        <v>9271</v>
      </c>
      <c r="E56" t="s">
        <v>9313</v>
      </c>
      <c r="F56" t="s">
        <v>9273</v>
      </c>
      <c r="G56" t="s">
        <v>9314</v>
      </c>
      <c r="H56">
        <v>-5.5</v>
      </c>
      <c r="L56" t="s">
        <v>7330</v>
      </c>
      <c r="M56" t="s">
        <v>7330</v>
      </c>
      <c r="N56" s="501">
        <v>445</v>
      </c>
      <c r="P56">
        <v>0</v>
      </c>
      <c r="Q56" s="501">
        <v>445</v>
      </c>
      <c r="R56" t="s">
        <v>7329</v>
      </c>
      <c r="S56">
        <v>0</v>
      </c>
    </row>
    <row r="57" spans="1:19">
      <c r="A57" t="s">
        <v>9201</v>
      </c>
      <c r="B57">
        <v>103</v>
      </c>
      <c r="C57" t="s">
        <v>7328</v>
      </c>
      <c r="D57" t="s">
        <v>9271</v>
      </c>
      <c r="E57" t="s">
        <v>9315</v>
      </c>
      <c r="F57" t="s">
        <v>9273</v>
      </c>
      <c r="G57" t="s">
        <v>9316</v>
      </c>
      <c r="H57">
        <v>-5.75</v>
      </c>
      <c r="L57" t="s">
        <v>7330</v>
      </c>
      <c r="M57" t="s">
        <v>7330</v>
      </c>
      <c r="N57" s="501">
        <v>440</v>
      </c>
      <c r="P57">
        <v>0</v>
      </c>
      <c r="Q57" s="501">
        <v>440</v>
      </c>
      <c r="R57" t="s">
        <v>7329</v>
      </c>
      <c r="S57">
        <v>0</v>
      </c>
    </row>
    <row r="58" spans="1:19">
      <c r="A58" t="s">
        <v>9201</v>
      </c>
      <c r="B58">
        <v>103</v>
      </c>
      <c r="C58" t="s">
        <v>7328</v>
      </c>
      <c r="D58" t="s">
        <v>9271</v>
      </c>
      <c r="E58" t="s">
        <v>9317</v>
      </c>
      <c r="F58" t="s">
        <v>9273</v>
      </c>
      <c r="G58" t="s">
        <v>9318</v>
      </c>
      <c r="H58">
        <v>-6</v>
      </c>
      <c r="L58" t="s">
        <v>7330</v>
      </c>
      <c r="M58" t="s">
        <v>7330</v>
      </c>
      <c r="N58" s="501">
        <v>475</v>
      </c>
      <c r="P58">
        <v>0</v>
      </c>
      <c r="Q58" s="501">
        <v>475</v>
      </c>
      <c r="R58" t="s">
        <v>7329</v>
      </c>
      <c r="S58">
        <v>0</v>
      </c>
    </row>
    <row r="59" spans="1:19">
      <c r="A59" t="s">
        <v>9201</v>
      </c>
      <c r="B59">
        <v>103</v>
      </c>
      <c r="C59" t="s">
        <v>7328</v>
      </c>
      <c r="D59" t="s">
        <v>9271</v>
      </c>
      <c r="E59" t="s">
        <v>9319</v>
      </c>
      <c r="F59" t="s">
        <v>9273</v>
      </c>
      <c r="G59" t="s">
        <v>9320</v>
      </c>
      <c r="H59">
        <v>-6.5</v>
      </c>
      <c r="L59" t="s">
        <v>7330</v>
      </c>
      <c r="M59" t="s">
        <v>7330</v>
      </c>
      <c r="N59" s="501">
        <v>185</v>
      </c>
      <c r="P59">
        <v>0</v>
      </c>
      <c r="Q59" s="501">
        <v>185</v>
      </c>
      <c r="R59" t="s">
        <v>7329</v>
      </c>
      <c r="S59">
        <v>0</v>
      </c>
    </row>
    <row r="60" spans="1:19">
      <c r="A60" t="s">
        <v>9201</v>
      </c>
      <c r="B60">
        <v>103</v>
      </c>
      <c r="C60" t="s">
        <v>7328</v>
      </c>
      <c r="D60" t="s">
        <v>9271</v>
      </c>
      <c r="E60" t="s">
        <v>9321</v>
      </c>
      <c r="F60" t="s">
        <v>9273</v>
      </c>
      <c r="G60" t="s">
        <v>9322</v>
      </c>
      <c r="H60">
        <v>-7</v>
      </c>
      <c r="L60" t="s">
        <v>7330</v>
      </c>
      <c r="M60" t="s">
        <v>7330</v>
      </c>
      <c r="N60" s="501">
        <v>235</v>
      </c>
      <c r="P60">
        <v>0</v>
      </c>
      <c r="Q60" s="501">
        <v>235</v>
      </c>
      <c r="R60" t="s">
        <v>7329</v>
      </c>
      <c r="S60">
        <v>0</v>
      </c>
    </row>
    <row r="61" spans="1:19">
      <c r="A61" t="s">
        <v>9201</v>
      </c>
      <c r="B61">
        <v>103</v>
      </c>
      <c r="C61" t="s">
        <v>7328</v>
      </c>
      <c r="D61" t="s">
        <v>9271</v>
      </c>
      <c r="E61" t="s">
        <v>9323</v>
      </c>
      <c r="F61" t="s">
        <v>9273</v>
      </c>
      <c r="G61" t="s">
        <v>9324</v>
      </c>
      <c r="H61">
        <v>-7.5</v>
      </c>
      <c r="L61" t="s">
        <v>7330</v>
      </c>
      <c r="M61" t="s">
        <v>7330</v>
      </c>
      <c r="N61" s="501">
        <v>195</v>
      </c>
      <c r="P61">
        <v>0</v>
      </c>
      <c r="Q61" s="501">
        <v>195</v>
      </c>
      <c r="R61" t="s">
        <v>7329</v>
      </c>
      <c r="S61">
        <v>0</v>
      </c>
    </row>
    <row r="62" spans="1:19">
      <c r="A62" t="s">
        <v>9201</v>
      </c>
      <c r="B62">
        <v>103</v>
      </c>
      <c r="C62" t="s">
        <v>7328</v>
      </c>
      <c r="D62" t="s">
        <v>9271</v>
      </c>
      <c r="E62" t="s">
        <v>9325</v>
      </c>
      <c r="F62" t="s">
        <v>9273</v>
      </c>
      <c r="G62" t="s">
        <v>9326</v>
      </c>
      <c r="H62">
        <v>-8</v>
      </c>
      <c r="L62" t="s">
        <v>7330</v>
      </c>
      <c r="M62" t="s">
        <v>7330</v>
      </c>
      <c r="N62" s="501">
        <v>30</v>
      </c>
      <c r="P62">
        <v>0</v>
      </c>
      <c r="Q62" s="501">
        <v>30</v>
      </c>
      <c r="R62" t="s">
        <v>7329</v>
      </c>
      <c r="S62">
        <v>0</v>
      </c>
    </row>
    <row r="63" spans="1:19">
      <c r="A63" t="s">
        <v>9201</v>
      </c>
      <c r="B63">
        <v>103</v>
      </c>
      <c r="C63" t="s">
        <v>7328</v>
      </c>
      <c r="D63" t="s">
        <v>9271</v>
      </c>
      <c r="E63" t="s">
        <v>9327</v>
      </c>
      <c r="F63" t="s">
        <v>9273</v>
      </c>
      <c r="G63" t="s">
        <v>9328</v>
      </c>
      <c r="H63">
        <v>-8.5</v>
      </c>
      <c r="L63" t="s">
        <v>7330</v>
      </c>
      <c r="M63" t="s">
        <v>7330</v>
      </c>
      <c r="N63" s="501">
        <v>210</v>
      </c>
      <c r="P63">
        <v>0</v>
      </c>
      <c r="Q63" s="501">
        <v>210</v>
      </c>
      <c r="R63" t="s">
        <v>7329</v>
      </c>
      <c r="S63">
        <v>0</v>
      </c>
    </row>
    <row r="64" spans="1:19">
      <c r="A64" t="s">
        <v>9201</v>
      </c>
      <c r="B64">
        <v>103</v>
      </c>
      <c r="C64" t="s">
        <v>7328</v>
      </c>
      <c r="D64" t="s">
        <v>9271</v>
      </c>
      <c r="E64" t="s">
        <v>9329</v>
      </c>
      <c r="F64" t="s">
        <v>9273</v>
      </c>
      <c r="G64" t="s">
        <v>9330</v>
      </c>
      <c r="H64">
        <v>-9</v>
      </c>
      <c r="L64" t="s">
        <v>7330</v>
      </c>
      <c r="M64" t="s">
        <v>7330</v>
      </c>
      <c r="N64" s="501">
        <v>270</v>
      </c>
      <c r="O64" s="501"/>
      <c r="P64" s="501">
        <v>0</v>
      </c>
      <c r="Q64" s="501">
        <v>270</v>
      </c>
      <c r="R64" t="s">
        <v>7329</v>
      </c>
      <c r="S64">
        <v>0</v>
      </c>
    </row>
    <row r="65" spans="1:19">
      <c r="A65" t="s">
        <v>9201</v>
      </c>
      <c r="B65">
        <v>103</v>
      </c>
      <c r="C65" t="s">
        <v>7328</v>
      </c>
      <c r="D65" t="s">
        <v>9271</v>
      </c>
      <c r="E65" t="s">
        <v>9331</v>
      </c>
      <c r="F65" t="s">
        <v>9273</v>
      </c>
      <c r="G65" t="s">
        <v>9332</v>
      </c>
      <c r="H65">
        <v>-10</v>
      </c>
      <c r="L65" t="s">
        <v>7330</v>
      </c>
      <c r="M65" t="s">
        <v>7330</v>
      </c>
      <c r="N65" s="501">
        <v>40</v>
      </c>
      <c r="P65">
        <v>0</v>
      </c>
      <c r="Q65" s="501">
        <v>40</v>
      </c>
      <c r="R65" t="s">
        <v>7329</v>
      </c>
      <c r="S65">
        <v>0</v>
      </c>
    </row>
    <row r="66" spans="1:19">
      <c r="A66" t="s">
        <v>9201</v>
      </c>
      <c r="B66">
        <v>103</v>
      </c>
      <c r="C66" t="s">
        <v>7328</v>
      </c>
      <c r="D66" t="s">
        <v>9333</v>
      </c>
      <c r="E66" t="s">
        <v>9334</v>
      </c>
      <c r="F66" t="s">
        <v>9335</v>
      </c>
      <c r="G66" t="s">
        <v>9336</v>
      </c>
      <c r="H66">
        <v>0</v>
      </c>
      <c r="L66" t="s">
        <v>7330</v>
      </c>
      <c r="M66" t="s">
        <v>7330</v>
      </c>
      <c r="N66" s="501">
        <v>10035</v>
      </c>
      <c r="O66" s="501"/>
      <c r="P66" s="501">
        <v>0</v>
      </c>
      <c r="Q66" s="501">
        <v>10035</v>
      </c>
      <c r="R66" t="s">
        <v>7329</v>
      </c>
      <c r="S66">
        <v>0</v>
      </c>
    </row>
    <row r="67" spans="1:19">
      <c r="A67" t="s">
        <v>9201</v>
      </c>
      <c r="B67">
        <v>103</v>
      </c>
      <c r="C67" t="s">
        <v>7328</v>
      </c>
      <c r="D67" t="s">
        <v>9333</v>
      </c>
      <c r="E67" t="s">
        <v>9334</v>
      </c>
      <c r="F67" t="s">
        <v>9335</v>
      </c>
      <c r="G67" t="s">
        <v>9336</v>
      </c>
      <c r="H67">
        <v>0</v>
      </c>
      <c r="K67" t="s">
        <v>9337</v>
      </c>
      <c r="L67" t="s">
        <v>9338</v>
      </c>
      <c r="M67" t="s">
        <v>9339</v>
      </c>
      <c r="N67" s="501"/>
      <c r="O67" s="501">
        <v>900</v>
      </c>
      <c r="P67" s="501">
        <v>900</v>
      </c>
      <c r="Q67" s="501"/>
      <c r="R67" t="s">
        <v>7329</v>
      </c>
      <c r="S67">
        <v>0</v>
      </c>
    </row>
    <row r="68" spans="1:19">
      <c r="A68" t="s">
        <v>9201</v>
      </c>
      <c r="B68">
        <v>103</v>
      </c>
      <c r="C68" t="s">
        <v>7328</v>
      </c>
      <c r="D68" t="s">
        <v>9333</v>
      </c>
      <c r="E68" t="s">
        <v>9334</v>
      </c>
      <c r="F68" t="s">
        <v>9335</v>
      </c>
      <c r="G68" t="s">
        <v>9336</v>
      </c>
      <c r="H68">
        <v>0</v>
      </c>
      <c r="K68" t="s">
        <v>9340</v>
      </c>
      <c r="L68" t="s">
        <v>9341</v>
      </c>
      <c r="M68" t="s">
        <v>9342</v>
      </c>
      <c r="N68" s="501"/>
      <c r="O68" s="501">
        <v>3000</v>
      </c>
      <c r="P68" s="501">
        <v>3000</v>
      </c>
      <c r="Q68" s="501"/>
      <c r="R68" t="s">
        <v>7329</v>
      </c>
      <c r="S68">
        <v>0</v>
      </c>
    </row>
    <row r="69" spans="1:19">
      <c r="A69" t="s">
        <v>9201</v>
      </c>
      <c r="B69">
        <v>103</v>
      </c>
      <c r="C69" t="s">
        <v>7328</v>
      </c>
      <c r="D69" t="s">
        <v>9333</v>
      </c>
      <c r="E69" t="s">
        <v>9334</v>
      </c>
      <c r="F69" t="s">
        <v>9335</v>
      </c>
      <c r="G69" t="s">
        <v>9336</v>
      </c>
      <c r="H69">
        <v>0</v>
      </c>
      <c r="K69" t="s">
        <v>9343</v>
      </c>
      <c r="L69" t="s">
        <v>9344</v>
      </c>
      <c r="M69" t="s">
        <v>9345</v>
      </c>
      <c r="N69" s="501"/>
      <c r="O69">
        <v>50</v>
      </c>
      <c r="P69">
        <v>50</v>
      </c>
      <c r="Q69" s="501"/>
      <c r="R69" t="s">
        <v>7329</v>
      </c>
      <c r="S69">
        <v>0</v>
      </c>
    </row>
    <row r="70" spans="1:19">
      <c r="A70" t="s">
        <v>9201</v>
      </c>
      <c r="B70">
        <v>103</v>
      </c>
      <c r="C70" t="s">
        <v>7328</v>
      </c>
      <c r="D70" t="s">
        <v>9333</v>
      </c>
      <c r="E70" t="s">
        <v>9346</v>
      </c>
      <c r="F70" t="s">
        <v>9335</v>
      </c>
      <c r="G70" t="s">
        <v>9347</v>
      </c>
      <c r="H70">
        <v>-0.5</v>
      </c>
      <c r="L70" t="s">
        <v>7330</v>
      </c>
      <c r="M70" t="s">
        <v>7330</v>
      </c>
      <c r="N70" s="501">
        <v>1980</v>
      </c>
      <c r="O70">
        <v>5</v>
      </c>
      <c r="P70">
        <v>0</v>
      </c>
      <c r="Q70" s="501">
        <v>1985</v>
      </c>
      <c r="R70" t="s">
        <v>7329</v>
      </c>
      <c r="S70">
        <v>0</v>
      </c>
    </row>
    <row r="71" spans="1:19">
      <c r="A71" t="s">
        <v>9201</v>
      </c>
      <c r="B71">
        <v>103</v>
      </c>
      <c r="C71" t="s">
        <v>7328</v>
      </c>
      <c r="D71" t="s">
        <v>9333</v>
      </c>
      <c r="E71" t="s">
        <v>9348</v>
      </c>
      <c r="F71" t="s">
        <v>9335</v>
      </c>
      <c r="G71" t="s">
        <v>9349</v>
      </c>
      <c r="H71">
        <v>-0.75</v>
      </c>
      <c r="L71" t="s">
        <v>7330</v>
      </c>
      <c r="M71" t="s">
        <v>7330</v>
      </c>
      <c r="N71" s="501">
        <v>1695</v>
      </c>
      <c r="P71">
        <v>0</v>
      </c>
      <c r="Q71" s="501">
        <v>1695</v>
      </c>
      <c r="R71" t="s">
        <v>7329</v>
      </c>
      <c r="S71">
        <v>0</v>
      </c>
    </row>
    <row r="72" spans="1:19">
      <c r="A72" t="s">
        <v>9201</v>
      </c>
      <c r="B72">
        <v>103</v>
      </c>
      <c r="C72" t="s">
        <v>7328</v>
      </c>
      <c r="D72" t="s">
        <v>9333</v>
      </c>
      <c r="E72" t="s">
        <v>9350</v>
      </c>
      <c r="F72" t="s">
        <v>9335</v>
      </c>
      <c r="G72" t="s">
        <v>9351</v>
      </c>
      <c r="H72">
        <v>-1</v>
      </c>
      <c r="L72" t="s">
        <v>7330</v>
      </c>
      <c r="M72" t="s">
        <v>7330</v>
      </c>
      <c r="N72" s="501">
        <v>3620</v>
      </c>
      <c r="O72">
        <v>165</v>
      </c>
      <c r="P72">
        <v>0</v>
      </c>
      <c r="Q72" s="501">
        <v>3785</v>
      </c>
      <c r="R72" t="s">
        <v>7329</v>
      </c>
      <c r="S72">
        <v>0</v>
      </c>
    </row>
    <row r="73" spans="1:19">
      <c r="A73" t="s">
        <v>9201</v>
      </c>
      <c r="B73">
        <v>103</v>
      </c>
      <c r="C73" t="s">
        <v>7328</v>
      </c>
      <c r="D73" t="s">
        <v>9333</v>
      </c>
      <c r="E73" t="s">
        <v>9352</v>
      </c>
      <c r="F73" t="s">
        <v>9335</v>
      </c>
      <c r="G73" t="s">
        <v>9353</v>
      </c>
      <c r="H73">
        <v>-1.25</v>
      </c>
      <c r="L73" t="s">
        <v>7330</v>
      </c>
      <c r="M73" t="s">
        <v>7330</v>
      </c>
      <c r="N73" s="501">
        <v>3440</v>
      </c>
      <c r="O73">
        <v>80</v>
      </c>
      <c r="P73">
        <v>0</v>
      </c>
      <c r="Q73" s="501">
        <v>3520</v>
      </c>
      <c r="R73" t="s">
        <v>7329</v>
      </c>
      <c r="S73">
        <v>0</v>
      </c>
    </row>
    <row r="74" spans="1:19">
      <c r="A74" t="s">
        <v>9201</v>
      </c>
      <c r="B74">
        <v>103</v>
      </c>
      <c r="C74" t="s">
        <v>7328</v>
      </c>
      <c r="D74" t="s">
        <v>9333</v>
      </c>
      <c r="E74" t="s">
        <v>9354</v>
      </c>
      <c r="F74" t="s">
        <v>9335</v>
      </c>
      <c r="G74" t="s">
        <v>9355</v>
      </c>
      <c r="H74">
        <v>-1.5</v>
      </c>
      <c r="L74" t="s">
        <v>7330</v>
      </c>
      <c r="M74" t="s">
        <v>7330</v>
      </c>
      <c r="N74" s="501">
        <v>5515</v>
      </c>
      <c r="O74">
        <v>80</v>
      </c>
      <c r="P74">
        <v>0</v>
      </c>
      <c r="Q74" s="501">
        <v>5595</v>
      </c>
      <c r="R74" t="s">
        <v>7329</v>
      </c>
      <c r="S74">
        <v>0</v>
      </c>
    </row>
    <row r="75" spans="1:19">
      <c r="A75" t="s">
        <v>9201</v>
      </c>
      <c r="B75">
        <v>103</v>
      </c>
      <c r="C75" t="s">
        <v>7328</v>
      </c>
      <c r="D75" t="s">
        <v>9333</v>
      </c>
      <c r="E75" t="s">
        <v>9356</v>
      </c>
      <c r="F75" t="s">
        <v>9335</v>
      </c>
      <c r="G75" t="s">
        <v>9357</v>
      </c>
      <c r="H75">
        <v>-1.75</v>
      </c>
      <c r="L75" t="s">
        <v>7330</v>
      </c>
      <c r="M75" t="s">
        <v>7330</v>
      </c>
      <c r="N75" s="501">
        <v>6305</v>
      </c>
      <c r="O75">
        <v>115</v>
      </c>
      <c r="P75">
        <v>0</v>
      </c>
      <c r="Q75" s="501">
        <v>6420</v>
      </c>
      <c r="R75" t="s">
        <v>7329</v>
      </c>
      <c r="S75">
        <v>0</v>
      </c>
    </row>
    <row r="76" spans="1:19">
      <c r="A76" t="s">
        <v>9201</v>
      </c>
      <c r="B76">
        <v>103</v>
      </c>
      <c r="C76" t="s">
        <v>7328</v>
      </c>
      <c r="D76" t="s">
        <v>9333</v>
      </c>
      <c r="E76" t="s">
        <v>9358</v>
      </c>
      <c r="F76" t="s">
        <v>9335</v>
      </c>
      <c r="G76" t="s">
        <v>9359</v>
      </c>
      <c r="H76">
        <v>-2</v>
      </c>
      <c r="L76" t="s">
        <v>7330</v>
      </c>
      <c r="M76" t="s">
        <v>7330</v>
      </c>
      <c r="N76" s="501">
        <v>10090</v>
      </c>
      <c r="O76">
        <v>160</v>
      </c>
      <c r="P76">
        <v>0</v>
      </c>
      <c r="Q76" s="501">
        <v>10250</v>
      </c>
      <c r="R76" t="s">
        <v>7329</v>
      </c>
      <c r="S76">
        <v>0</v>
      </c>
    </row>
    <row r="77" spans="1:19">
      <c r="A77" t="s">
        <v>9201</v>
      </c>
      <c r="B77">
        <v>103</v>
      </c>
      <c r="C77" t="s">
        <v>7328</v>
      </c>
      <c r="D77" t="s">
        <v>9333</v>
      </c>
      <c r="E77" t="s">
        <v>9360</v>
      </c>
      <c r="F77" t="s">
        <v>9335</v>
      </c>
      <c r="G77" t="s">
        <v>9361</v>
      </c>
      <c r="H77">
        <v>-2.25</v>
      </c>
      <c r="L77" t="s">
        <v>7330</v>
      </c>
      <c r="M77" t="s">
        <v>7330</v>
      </c>
      <c r="N77" s="501">
        <v>8645</v>
      </c>
      <c r="O77">
        <v>140</v>
      </c>
      <c r="P77">
        <v>0</v>
      </c>
      <c r="Q77" s="501">
        <v>8785</v>
      </c>
      <c r="R77" t="s">
        <v>7329</v>
      </c>
      <c r="S77">
        <v>0</v>
      </c>
    </row>
    <row r="78" spans="1:19">
      <c r="A78" t="s">
        <v>9201</v>
      </c>
      <c r="B78">
        <v>103</v>
      </c>
      <c r="C78" t="s">
        <v>7328</v>
      </c>
      <c r="D78" t="s">
        <v>9333</v>
      </c>
      <c r="E78" t="s">
        <v>9362</v>
      </c>
      <c r="F78" t="s">
        <v>9335</v>
      </c>
      <c r="G78" t="s">
        <v>9363</v>
      </c>
      <c r="H78">
        <v>-2.5</v>
      </c>
      <c r="L78" t="s">
        <v>7330</v>
      </c>
      <c r="M78" t="s">
        <v>7330</v>
      </c>
      <c r="N78" s="501">
        <v>7560</v>
      </c>
      <c r="O78">
        <v>230</v>
      </c>
      <c r="P78">
        <v>0</v>
      </c>
      <c r="Q78" s="501">
        <v>7790</v>
      </c>
      <c r="R78" t="s">
        <v>7329</v>
      </c>
      <c r="S78">
        <v>0</v>
      </c>
    </row>
    <row r="79" spans="1:19">
      <c r="A79" t="s">
        <v>9201</v>
      </c>
      <c r="B79">
        <v>103</v>
      </c>
      <c r="C79" t="s">
        <v>7328</v>
      </c>
      <c r="D79" t="s">
        <v>9333</v>
      </c>
      <c r="E79" t="s">
        <v>9364</v>
      </c>
      <c r="F79" t="s">
        <v>9335</v>
      </c>
      <c r="G79" t="s">
        <v>9365</v>
      </c>
      <c r="H79">
        <v>-2.75</v>
      </c>
      <c r="L79" t="s">
        <v>7330</v>
      </c>
      <c r="M79" t="s">
        <v>7330</v>
      </c>
      <c r="N79" s="501">
        <v>9515</v>
      </c>
      <c r="P79">
        <v>0</v>
      </c>
      <c r="Q79" s="501">
        <v>9515</v>
      </c>
      <c r="R79" t="s">
        <v>7329</v>
      </c>
      <c r="S79">
        <v>0</v>
      </c>
    </row>
    <row r="80" spans="1:19">
      <c r="A80" t="s">
        <v>9201</v>
      </c>
      <c r="B80">
        <v>103</v>
      </c>
      <c r="C80" t="s">
        <v>7328</v>
      </c>
      <c r="D80" t="s">
        <v>9333</v>
      </c>
      <c r="E80" t="s">
        <v>9366</v>
      </c>
      <c r="F80" t="s">
        <v>9335</v>
      </c>
      <c r="G80" t="s">
        <v>9367</v>
      </c>
      <c r="H80">
        <v>-3</v>
      </c>
      <c r="L80" t="s">
        <v>7330</v>
      </c>
      <c r="M80" t="s">
        <v>7330</v>
      </c>
      <c r="N80" s="501">
        <v>9245</v>
      </c>
      <c r="O80">
        <v>10</v>
      </c>
      <c r="P80">
        <v>0</v>
      </c>
      <c r="Q80" s="501">
        <v>9255</v>
      </c>
      <c r="R80" t="s">
        <v>7329</v>
      </c>
      <c r="S80">
        <v>0</v>
      </c>
    </row>
    <row r="81" spans="1:19">
      <c r="A81" t="s">
        <v>9201</v>
      </c>
      <c r="B81">
        <v>103</v>
      </c>
      <c r="C81" t="s">
        <v>7328</v>
      </c>
      <c r="D81" t="s">
        <v>9333</v>
      </c>
      <c r="E81" t="s">
        <v>9368</v>
      </c>
      <c r="F81" t="s">
        <v>9335</v>
      </c>
      <c r="G81" t="s">
        <v>9369</v>
      </c>
      <c r="H81">
        <v>-3.25</v>
      </c>
      <c r="L81" t="s">
        <v>7330</v>
      </c>
      <c r="M81" t="s">
        <v>7330</v>
      </c>
      <c r="N81" s="501">
        <v>7030</v>
      </c>
      <c r="P81">
        <v>0</v>
      </c>
      <c r="Q81" s="501">
        <v>7030</v>
      </c>
      <c r="R81" t="s">
        <v>7329</v>
      </c>
      <c r="S81">
        <v>0</v>
      </c>
    </row>
    <row r="82" spans="1:19">
      <c r="A82" t="s">
        <v>9201</v>
      </c>
      <c r="B82">
        <v>103</v>
      </c>
      <c r="C82" t="s">
        <v>7328</v>
      </c>
      <c r="D82" t="s">
        <v>9333</v>
      </c>
      <c r="E82" t="s">
        <v>9370</v>
      </c>
      <c r="F82" t="s">
        <v>9335</v>
      </c>
      <c r="G82" t="s">
        <v>9371</v>
      </c>
      <c r="H82">
        <v>-3.5</v>
      </c>
      <c r="L82" t="s">
        <v>7330</v>
      </c>
      <c r="M82" t="s">
        <v>7330</v>
      </c>
      <c r="N82" s="501">
        <v>7445</v>
      </c>
      <c r="O82">
        <v>190</v>
      </c>
      <c r="P82">
        <v>0</v>
      </c>
      <c r="Q82" s="501">
        <v>7635</v>
      </c>
      <c r="R82" t="s">
        <v>7329</v>
      </c>
      <c r="S82">
        <v>0</v>
      </c>
    </row>
    <row r="83" spans="1:19">
      <c r="A83" t="s">
        <v>9201</v>
      </c>
      <c r="B83">
        <v>103</v>
      </c>
      <c r="C83" t="s">
        <v>7328</v>
      </c>
      <c r="D83" t="s">
        <v>9333</v>
      </c>
      <c r="E83" t="s">
        <v>9372</v>
      </c>
      <c r="F83" t="s">
        <v>9335</v>
      </c>
      <c r="G83" t="s">
        <v>9373</v>
      </c>
      <c r="H83">
        <v>-3.75</v>
      </c>
      <c r="L83" t="s">
        <v>7330</v>
      </c>
      <c r="M83" t="s">
        <v>7330</v>
      </c>
      <c r="N83" s="501">
        <v>8110</v>
      </c>
      <c r="P83">
        <v>0</v>
      </c>
      <c r="Q83" s="501">
        <v>8110</v>
      </c>
      <c r="R83" t="s">
        <v>7329</v>
      </c>
      <c r="S83">
        <v>0</v>
      </c>
    </row>
    <row r="84" spans="1:19">
      <c r="A84" t="s">
        <v>9201</v>
      </c>
      <c r="B84">
        <v>103</v>
      </c>
      <c r="C84" t="s">
        <v>7328</v>
      </c>
      <c r="D84" t="s">
        <v>9333</v>
      </c>
      <c r="E84" t="s">
        <v>9374</v>
      </c>
      <c r="F84" t="s">
        <v>9335</v>
      </c>
      <c r="G84" t="s">
        <v>9375</v>
      </c>
      <c r="H84">
        <v>-4</v>
      </c>
      <c r="L84" t="s">
        <v>7330</v>
      </c>
      <c r="M84" t="s">
        <v>7330</v>
      </c>
      <c r="N84" s="501">
        <v>8305</v>
      </c>
      <c r="P84">
        <v>0</v>
      </c>
      <c r="Q84" s="501">
        <v>8305</v>
      </c>
      <c r="R84" t="s">
        <v>7329</v>
      </c>
      <c r="S84">
        <v>0</v>
      </c>
    </row>
    <row r="85" spans="1:19">
      <c r="A85" t="s">
        <v>9201</v>
      </c>
      <c r="B85">
        <v>103</v>
      </c>
      <c r="C85" t="s">
        <v>7328</v>
      </c>
      <c r="D85" t="s">
        <v>9333</v>
      </c>
      <c r="E85" t="s">
        <v>9376</v>
      </c>
      <c r="F85" t="s">
        <v>9335</v>
      </c>
      <c r="G85" t="s">
        <v>9377</v>
      </c>
      <c r="H85">
        <v>-4.25</v>
      </c>
      <c r="L85" t="s">
        <v>7330</v>
      </c>
      <c r="M85" t="s">
        <v>7330</v>
      </c>
      <c r="N85" s="501">
        <v>6955</v>
      </c>
      <c r="O85" s="501">
        <v>145</v>
      </c>
      <c r="P85" s="501">
        <v>0</v>
      </c>
      <c r="Q85" s="501">
        <v>7100</v>
      </c>
      <c r="R85" t="s">
        <v>7329</v>
      </c>
      <c r="S85">
        <v>0</v>
      </c>
    </row>
    <row r="86" spans="1:19">
      <c r="A86" t="s">
        <v>9201</v>
      </c>
      <c r="B86">
        <v>103</v>
      </c>
      <c r="C86" t="s">
        <v>7328</v>
      </c>
      <c r="D86" t="s">
        <v>9333</v>
      </c>
      <c r="E86" t="s">
        <v>9378</v>
      </c>
      <c r="F86" t="s">
        <v>9335</v>
      </c>
      <c r="G86" t="s">
        <v>9379</v>
      </c>
      <c r="H86">
        <v>-4.5</v>
      </c>
      <c r="L86" t="s">
        <v>7330</v>
      </c>
      <c r="M86" t="s">
        <v>7330</v>
      </c>
      <c r="N86" s="501">
        <v>7315</v>
      </c>
      <c r="O86">
        <v>130</v>
      </c>
      <c r="P86">
        <v>0</v>
      </c>
      <c r="Q86" s="501">
        <v>7445</v>
      </c>
      <c r="R86" t="s">
        <v>7329</v>
      </c>
      <c r="S86">
        <v>0</v>
      </c>
    </row>
    <row r="87" spans="1:19">
      <c r="A87" t="s">
        <v>9201</v>
      </c>
      <c r="B87">
        <v>103</v>
      </c>
      <c r="C87" t="s">
        <v>7328</v>
      </c>
      <c r="D87" t="s">
        <v>9333</v>
      </c>
      <c r="E87" t="s">
        <v>9380</v>
      </c>
      <c r="F87" t="s">
        <v>9335</v>
      </c>
      <c r="G87" t="s">
        <v>9381</v>
      </c>
      <c r="H87">
        <v>-4.75</v>
      </c>
      <c r="L87" t="s">
        <v>7330</v>
      </c>
      <c r="M87" t="s">
        <v>7330</v>
      </c>
      <c r="N87" s="501">
        <v>5425</v>
      </c>
      <c r="O87" s="501">
        <v>95</v>
      </c>
      <c r="P87" s="501">
        <v>0</v>
      </c>
      <c r="Q87" s="501">
        <v>5520</v>
      </c>
      <c r="R87" t="s">
        <v>7329</v>
      </c>
      <c r="S87">
        <v>0</v>
      </c>
    </row>
    <row r="88" spans="1:19">
      <c r="A88" t="s">
        <v>9201</v>
      </c>
      <c r="B88">
        <v>103</v>
      </c>
      <c r="C88" t="s">
        <v>7328</v>
      </c>
      <c r="D88" t="s">
        <v>9333</v>
      </c>
      <c r="E88" t="s">
        <v>9382</v>
      </c>
      <c r="F88" t="s">
        <v>9335</v>
      </c>
      <c r="G88" t="s">
        <v>9383</v>
      </c>
      <c r="H88">
        <v>-5</v>
      </c>
      <c r="L88" t="s">
        <v>7330</v>
      </c>
      <c r="M88" t="s">
        <v>7330</v>
      </c>
      <c r="N88" s="501">
        <v>5670</v>
      </c>
      <c r="O88" s="501"/>
      <c r="P88" s="501">
        <v>0</v>
      </c>
      <c r="Q88" s="501">
        <v>5670</v>
      </c>
      <c r="R88" t="s">
        <v>7329</v>
      </c>
      <c r="S88">
        <v>0</v>
      </c>
    </row>
    <row r="89" spans="1:19">
      <c r="A89" t="s">
        <v>9201</v>
      </c>
      <c r="B89">
        <v>103</v>
      </c>
      <c r="C89" t="s">
        <v>7328</v>
      </c>
      <c r="D89" t="s">
        <v>9333</v>
      </c>
      <c r="E89" t="s">
        <v>9384</v>
      </c>
      <c r="F89" t="s">
        <v>9335</v>
      </c>
      <c r="G89" t="s">
        <v>9385</v>
      </c>
      <c r="H89">
        <v>-5.25</v>
      </c>
      <c r="L89" t="s">
        <v>7330</v>
      </c>
      <c r="M89" t="s">
        <v>7330</v>
      </c>
      <c r="N89" s="501">
        <v>3095</v>
      </c>
      <c r="P89">
        <v>0</v>
      </c>
      <c r="Q89" s="501">
        <v>3095</v>
      </c>
      <c r="R89" t="s">
        <v>7329</v>
      </c>
      <c r="S89">
        <v>0</v>
      </c>
    </row>
    <row r="90" spans="1:19">
      <c r="A90" t="s">
        <v>9201</v>
      </c>
      <c r="B90">
        <v>103</v>
      </c>
      <c r="C90" t="s">
        <v>7328</v>
      </c>
      <c r="D90" t="s">
        <v>9333</v>
      </c>
      <c r="E90" t="s">
        <v>9386</v>
      </c>
      <c r="F90" t="s">
        <v>9335</v>
      </c>
      <c r="G90" t="s">
        <v>9387</v>
      </c>
      <c r="H90">
        <v>-5.5</v>
      </c>
      <c r="L90" t="s">
        <v>7330</v>
      </c>
      <c r="M90" t="s">
        <v>7330</v>
      </c>
      <c r="N90" s="501">
        <v>5775</v>
      </c>
      <c r="O90" s="501">
        <v>200</v>
      </c>
      <c r="P90" s="501">
        <v>0</v>
      </c>
      <c r="Q90" s="501">
        <v>5975</v>
      </c>
      <c r="R90" t="s">
        <v>7329</v>
      </c>
      <c r="S90">
        <v>0</v>
      </c>
    </row>
    <row r="91" spans="1:19">
      <c r="A91" t="s">
        <v>9201</v>
      </c>
      <c r="B91">
        <v>103</v>
      </c>
      <c r="C91" t="s">
        <v>7328</v>
      </c>
      <c r="D91" t="s">
        <v>9333</v>
      </c>
      <c r="E91" t="s">
        <v>9388</v>
      </c>
      <c r="F91" t="s">
        <v>9335</v>
      </c>
      <c r="G91" t="s">
        <v>9389</v>
      </c>
      <c r="H91">
        <v>-5.75</v>
      </c>
      <c r="L91" t="s">
        <v>7330</v>
      </c>
      <c r="M91" t="s">
        <v>7330</v>
      </c>
      <c r="N91" s="501">
        <v>3240</v>
      </c>
      <c r="O91">
        <v>175</v>
      </c>
      <c r="P91">
        <v>0</v>
      </c>
      <c r="Q91" s="501">
        <v>3415</v>
      </c>
      <c r="R91" t="s">
        <v>7329</v>
      </c>
      <c r="S91">
        <v>0</v>
      </c>
    </row>
    <row r="92" spans="1:19">
      <c r="A92" t="s">
        <v>9201</v>
      </c>
      <c r="B92">
        <v>103</v>
      </c>
      <c r="C92" t="s">
        <v>7328</v>
      </c>
      <c r="D92" t="s">
        <v>9333</v>
      </c>
      <c r="E92" t="s">
        <v>9390</v>
      </c>
      <c r="F92" t="s">
        <v>9335</v>
      </c>
      <c r="G92" t="s">
        <v>9391</v>
      </c>
      <c r="H92">
        <v>-6</v>
      </c>
      <c r="L92" t="s">
        <v>7330</v>
      </c>
      <c r="M92" t="s">
        <v>7330</v>
      </c>
      <c r="N92" s="501">
        <v>6165</v>
      </c>
      <c r="O92" s="501">
        <v>135</v>
      </c>
      <c r="P92" s="501">
        <v>0</v>
      </c>
      <c r="Q92" s="501">
        <v>6300</v>
      </c>
      <c r="R92" t="s">
        <v>7329</v>
      </c>
      <c r="S92">
        <v>0</v>
      </c>
    </row>
    <row r="93" spans="1:19">
      <c r="A93" t="s">
        <v>9201</v>
      </c>
      <c r="B93">
        <v>103</v>
      </c>
      <c r="C93" t="s">
        <v>7328</v>
      </c>
      <c r="D93" t="s">
        <v>9333</v>
      </c>
      <c r="E93" t="s">
        <v>9392</v>
      </c>
      <c r="F93" t="s">
        <v>9335</v>
      </c>
      <c r="G93" t="s">
        <v>9393</v>
      </c>
      <c r="H93">
        <v>-6.5</v>
      </c>
      <c r="L93" t="s">
        <v>7330</v>
      </c>
      <c r="M93" t="s">
        <v>7330</v>
      </c>
      <c r="N93" s="501">
        <v>6015</v>
      </c>
      <c r="O93">
        <v>200</v>
      </c>
      <c r="P93">
        <v>0</v>
      </c>
      <c r="Q93" s="501">
        <v>6215</v>
      </c>
      <c r="R93" t="s">
        <v>7329</v>
      </c>
      <c r="S93">
        <v>0</v>
      </c>
    </row>
    <row r="94" spans="1:19">
      <c r="A94" t="s">
        <v>9201</v>
      </c>
      <c r="B94">
        <v>103</v>
      </c>
      <c r="C94" t="s">
        <v>7328</v>
      </c>
      <c r="D94" t="s">
        <v>9333</v>
      </c>
      <c r="E94" t="s">
        <v>9392</v>
      </c>
      <c r="F94" t="s">
        <v>9335</v>
      </c>
      <c r="G94" t="s">
        <v>9393</v>
      </c>
      <c r="H94">
        <v>-6.5</v>
      </c>
      <c r="K94" t="s">
        <v>10179</v>
      </c>
      <c r="L94" t="s">
        <v>11339</v>
      </c>
      <c r="M94" t="s">
        <v>11340</v>
      </c>
      <c r="N94" s="501"/>
      <c r="O94">
        <v>100</v>
      </c>
      <c r="P94">
        <v>100</v>
      </c>
      <c r="Q94" s="501"/>
      <c r="R94" t="s">
        <v>7329</v>
      </c>
      <c r="S94">
        <v>0</v>
      </c>
    </row>
    <row r="95" spans="1:19">
      <c r="A95" t="s">
        <v>9201</v>
      </c>
      <c r="B95">
        <v>103</v>
      </c>
      <c r="C95" t="s">
        <v>7328</v>
      </c>
      <c r="D95" t="s">
        <v>9333</v>
      </c>
      <c r="E95" t="s">
        <v>9394</v>
      </c>
      <c r="F95" t="s">
        <v>9335</v>
      </c>
      <c r="G95" t="s">
        <v>9395</v>
      </c>
      <c r="H95">
        <v>-7</v>
      </c>
      <c r="L95" t="s">
        <v>7330</v>
      </c>
      <c r="M95" t="s">
        <v>7330</v>
      </c>
      <c r="N95" s="501">
        <v>5955</v>
      </c>
      <c r="O95">
        <v>215</v>
      </c>
      <c r="P95">
        <v>0</v>
      </c>
      <c r="Q95" s="501">
        <v>6170</v>
      </c>
      <c r="R95" t="s">
        <v>7329</v>
      </c>
      <c r="S95">
        <v>0</v>
      </c>
    </row>
    <row r="96" spans="1:19">
      <c r="A96" t="s">
        <v>9201</v>
      </c>
      <c r="B96">
        <v>103</v>
      </c>
      <c r="C96" t="s">
        <v>7328</v>
      </c>
      <c r="D96" t="s">
        <v>9333</v>
      </c>
      <c r="E96" t="s">
        <v>9396</v>
      </c>
      <c r="F96" t="s">
        <v>9335</v>
      </c>
      <c r="G96" t="s">
        <v>9397</v>
      </c>
      <c r="H96">
        <v>-7.5</v>
      </c>
      <c r="L96" t="s">
        <v>7330</v>
      </c>
      <c r="M96" t="s">
        <v>7330</v>
      </c>
      <c r="N96" s="501">
        <v>3850</v>
      </c>
      <c r="P96">
        <v>0</v>
      </c>
      <c r="Q96" s="501">
        <v>3850</v>
      </c>
      <c r="R96" t="s">
        <v>7329</v>
      </c>
      <c r="S96">
        <v>0</v>
      </c>
    </row>
    <row r="97" spans="1:19">
      <c r="A97" t="s">
        <v>9201</v>
      </c>
      <c r="B97">
        <v>103</v>
      </c>
      <c r="C97" t="s">
        <v>7328</v>
      </c>
      <c r="D97" t="s">
        <v>9333</v>
      </c>
      <c r="E97" t="s">
        <v>9398</v>
      </c>
      <c r="F97" t="s">
        <v>9335</v>
      </c>
      <c r="G97" t="s">
        <v>9399</v>
      </c>
      <c r="H97">
        <v>-8</v>
      </c>
      <c r="L97" t="s">
        <v>7330</v>
      </c>
      <c r="M97" t="s">
        <v>7330</v>
      </c>
      <c r="N97" s="501">
        <v>3805</v>
      </c>
      <c r="P97">
        <v>0</v>
      </c>
      <c r="Q97" s="501">
        <v>3805</v>
      </c>
      <c r="R97" t="s">
        <v>7329</v>
      </c>
      <c r="S97">
        <v>0</v>
      </c>
    </row>
    <row r="98" spans="1:19">
      <c r="A98" t="s">
        <v>9201</v>
      </c>
      <c r="B98">
        <v>103</v>
      </c>
      <c r="C98" t="s">
        <v>7328</v>
      </c>
      <c r="D98" t="s">
        <v>9333</v>
      </c>
      <c r="E98" t="s">
        <v>9400</v>
      </c>
      <c r="F98" t="s">
        <v>9335</v>
      </c>
      <c r="G98" t="s">
        <v>9401</v>
      </c>
      <c r="H98">
        <v>-8.5</v>
      </c>
      <c r="L98" t="s">
        <v>7330</v>
      </c>
      <c r="M98" t="s">
        <v>7330</v>
      </c>
      <c r="N98" s="501">
        <v>2010</v>
      </c>
      <c r="O98" s="501"/>
      <c r="P98" s="501">
        <v>0</v>
      </c>
      <c r="Q98" s="501">
        <v>2010</v>
      </c>
      <c r="R98" t="s">
        <v>7329</v>
      </c>
      <c r="S98">
        <v>0</v>
      </c>
    </row>
    <row r="99" spans="1:19">
      <c r="A99" t="s">
        <v>9201</v>
      </c>
      <c r="B99">
        <v>103</v>
      </c>
      <c r="C99" t="s">
        <v>7328</v>
      </c>
      <c r="D99" t="s">
        <v>9333</v>
      </c>
      <c r="E99" t="s">
        <v>9402</v>
      </c>
      <c r="F99" t="s">
        <v>9335</v>
      </c>
      <c r="G99" t="s">
        <v>9403</v>
      </c>
      <c r="H99">
        <v>-9</v>
      </c>
      <c r="L99" t="s">
        <v>7330</v>
      </c>
      <c r="M99" t="s">
        <v>7330</v>
      </c>
      <c r="N99" s="501">
        <v>3215</v>
      </c>
      <c r="P99">
        <v>0</v>
      </c>
      <c r="Q99" s="501">
        <v>3215</v>
      </c>
      <c r="R99" t="s">
        <v>7329</v>
      </c>
      <c r="S99">
        <v>0</v>
      </c>
    </row>
    <row r="100" spans="1:19">
      <c r="A100" t="s">
        <v>9201</v>
      </c>
      <c r="B100">
        <v>103</v>
      </c>
      <c r="C100" t="s">
        <v>7328</v>
      </c>
      <c r="D100" t="s">
        <v>9333</v>
      </c>
      <c r="E100" t="s">
        <v>9404</v>
      </c>
      <c r="F100" t="s">
        <v>9335</v>
      </c>
      <c r="G100" t="s">
        <v>9405</v>
      </c>
      <c r="H100">
        <v>-9.5</v>
      </c>
      <c r="L100" t="s">
        <v>7330</v>
      </c>
      <c r="M100" t="s">
        <v>7330</v>
      </c>
      <c r="N100" s="501">
        <v>1530</v>
      </c>
      <c r="P100">
        <v>0</v>
      </c>
      <c r="Q100" s="501">
        <v>1530</v>
      </c>
      <c r="R100" t="s">
        <v>7329</v>
      </c>
      <c r="S100">
        <v>0</v>
      </c>
    </row>
    <row r="101" spans="1:19">
      <c r="A101" t="s">
        <v>9201</v>
      </c>
      <c r="B101">
        <v>103</v>
      </c>
      <c r="C101" t="s">
        <v>7328</v>
      </c>
      <c r="D101" t="s">
        <v>9333</v>
      </c>
      <c r="E101" t="s">
        <v>9406</v>
      </c>
      <c r="F101" t="s">
        <v>9335</v>
      </c>
      <c r="G101" t="s">
        <v>9407</v>
      </c>
      <c r="H101">
        <v>-10</v>
      </c>
      <c r="L101" t="s">
        <v>7330</v>
      </c>
      <c r="M101" t="s">
        <v>7330</v>
      </c>
      <c r="N101" s="501">
        <v>1255</v>
      </c>
      <c r="O101" s="501"/>
      <c r="P101" s="501">
        <v>0</v>
      </c>
      <c r="Q101" s="501">
        <v>1255</v>
      </c>
      <c r="R101" t="s">
        <v>7329</v>
      </c>
      <c r="S101">
        <v>0</v>
      </c>
    </row>
    <row r="102" spans="1:19">
      <c r="A102" t="s">
        <v>9201</v>
      </c>
      <c r="B102">
        <v>103</v>
      </c>
      <c r="C102" t="s">
        <v>7328</v>
      </c>
      <c r="D102" t="s">
        <v>9408</v>
      </c>
      <c r="E102" t="s">
        <v>9409</v>
      </c>
      <c r="F102" t="s">
        <v>9410</v>
      </c>
      <c r="G102" t="s">
        <v>9411</v>
      </c>
      <c r="H102">
        <v>0</v>
      </c>
      <c r="L102" t="s">
        <v>7330</v>
      </c>
      <c r="M102" t="s">
        <v>7330</v>
      </c>
      <c r="N102" s="501">
        <v>1203</v>
      </c>
      <c r="O102">
        <v>129</v>
      </c>
      <c r="P102">
        <v>0</v>
      </c>
      <c r="Q102" s="501">
        <v>1332</v>
      </c>
      <c r="R102" t="s">
        <v>7329</v>
      </c>
      <c r="S102">
        <v>0</v>
      </c>
    </row>
    <row r="103" spans="1:19">
      <c r="A103" t="s">
        <v>9201</v>
      </c>
      <c r="B103">
        <v>103</v>
      </c>
      <c r="C103" t="s">
        <v>7328</v>
      </c>
      <c r="D103" t="s">
        <v>9408</v>
      </c>
      <c r="E103" t="s">
        <v>9412</v>
      </c>
      <c r="F103" t="s">
        <v>9410</v>
      </c>
      <c r="G103" t="s">
        <v>9413</v>
      </c>
      <c r="H103">
        <v>-0.5</v>
      </c>
      <c r="L103" t="s">
        <v>7330</v>
      </c>
      <c r="M103" t="s">
        <v>7330</v>
      </c>
      <c r="N103" s="501">
        <v>66</v>
      </c>
      <c r="O103">
        <v>4</v>
      </c>
      <c r="P103">
        <v>0</v>
      </c>
      <c r="Q103" s="501">
        <v>70</v>
      </c>
      <c r="R103" t="s">
        <v>7329</v>
      </c>
      <c r="S103">
        <v>0</v>
      </c>
    </row>
    <row r="104" spans="1:19">
      <c r="A104" t="s">
        <v>9201</v>
      </c>
      <c r="B104">
        <v>103</v>
      </c>
      <c r="C104" t="s">
        <v>7328</v>
      </c>
      <c r="D104" t="s">
        <v>9408</v>
      </c>
      <c r="E104" t="s">
        <v>9414</v>
      </c>
      <c r="F104" t="s">
        <v>9410</v>
      </c>
      <c r="G104" t="s">
        <v>9415</v>
      </c>
      <c r="H104">
        <v>-0.75</v>
      </c>
      <c r="L104" t="s">
        <v>7330</v>
      </c>
      <c r="M104" t="s">
        <v>7330</v>
      </c>
      <c r="N104" s="501">
        <v>40</v>
      </c>
      <c r="O104" s="501">
        <v>15</v>
      </c>
      <c r="P104" s="501">
        <v>0</v>
      </c>
      <c r="Q104" s="501">
        <v>55</v>
      </c>
      <c r="R104" t="s">
        <v>7329</v>
      </c>
      <c r="S104">
        <v>0</v>
      </c>
    </row>
    <row r="105" spans="1:19">
      <c r="A105" t="s">
        <v>9201</v>
      </c>
      <c r="B105">
        <v>103</v>
      </c>
      <c r="C105" t="s">
        <v>7328</v>
      </c>
      <c r="D105" t="s">
        <v>9408</v>
      </c>
      <c r="E105" t="s">
        <v>9416</v>
      </c>
      <c r="F105" t="s">
        <v>9410</v>
      </c>
      <c r="G105" t="s">
        <v>9417</v>
      </c>
      <c r="H105">
        <v>-1</v>
      </c>
      <c r="L105" t="s">
        <v>7330</v>
      </c>
      <c r="M105" t="s">
        <v>7330</v>
      </c>
      <c r="N105" s="501">
        <v>129</v>
      </c>
      <c r="O105">
        <v>4</v>
      </c>
      <c r="P105">
        <v>0</v>
      </c>
      <c r="Q105" s="501">
        <v>133</v>
      </c>
      <c r="R105" t="s">
        <v>7329</v>
      </c>
      <c r="S105">
        <v>0</v>
      </c>
    </row>
    <row r="106" spans="1:19">
      <c r="A106" t="s">
        <v>9201</v>
      </c>
      <c r="B106">
        <v>103</v>
      </c>
      <c r="C106" t="s">
        <v>7328</v>
      </c>
      <c r="D106" t="s">
        <v>9408</v>
      </c>
      <c r="E106" t="s">
        <v>9418</v>
      </c>
      <c r="F106" t="s">
        <v>9410</v>
      </c>
      <c r="G106" t="s">
        <v>9419</v>
      </c>
      <c r="H106">
        <v>-1.25</v>
      </c>
      <c r="L106" t="s">
        <v>7330</v>
      </c>
      <c r="M106" t="s">
        <v>7330</v>
      </c>
      <c r="N106" s="501">
        <v>47</v>
      </c>
      <c r="O106" s="501">
        <v>39</v>
      </c>
      <c r="P106" s="501">
        <v>0</v>
      </c>
      <c r="Q106" s="501">
        <v>86</v>
      </c>
      <c r="R106" t="s">
        <v>7329</v>
      </c>
      <c r="S106">
        <v>0</v>
      </c>
    </row>
    <row r="107" spans="1:19">
      <c r="A107" t="s">
        <v>9201</v>
      </c>
      <c r="B107">
        <v>103</v>
      </c>
      <c r="C107" t="s">
        <v>7328</v>
      </c>
      <c r="D107" t="s">
        <v>9408</v>
      </c>
      <c r="E107" t="s">
        <v>9420</v>
      </c>
      <c r="F107" t="s">
        <v>9410</v>
      </c>
      <c r="G107" t="s">
        <v>9421</v>
      </c>
      <c r="H107">
        <v>-1.5</v>
      </c>
      <c r="L107" t="s">
        <v>7330</v>
      </c>
      <c r="M107" t="s">
        <v>7330</v>
      </c>
      <c r="N107" s="501">
        <v>100</v>
      </c>
      <c r="O107" s="501">
        <v>19</v>
      </c>
      <c r="P107" s="501">
        <v>0</v>
      </c>
      <c r="Q107" s="501">
        <v>119</v>
      </c>
      <c r="R107" t="s">
        <v>7329</v>
      </c>
      <c r="S107">
        <v>0</v>
      </c>
    </row>
    <row r="108" spans="1:19">
      <c r="A108" t="s">
        <v>9201</v>
      </c>
      <c r="B108">
        <v>103</v>
      </c>
      <c r="C108" t="s">
        <v>7328</v>
      </c>
      <c r="D108" t="s">
        <v>9408</v>
      </c>
      <c r="E108" t="s">
        <v>9422</v>
      </c>
      <c r="F108" t="s">
        <v>9410</v>
      </c>
      <c r="G108" t="s">
        <v>9423</v>
      </c>
      <c r="H108">
        <v>-1.75</v>
      </c>
      <c r="L108" t="s">
        <v>7330</v>
      </c>
      <c r="M108" t="s">
        <v>7330</v>
      </c>
      <c r="N108" s="501">
        <v>127</v>
      </c>
      <c r="O108" s="501">
        <v>4</v>
      </c>
      <c r="P108" s="501">
        <v>0</v>
      </c>
      <c r="Q108" s="501">
        <v>131</v>
      </c>
      <c r="R108" t="s">
        <v>7329</v>
      </c>
      <c r="S108">
        <v>0</v>
      </c>
    </row>
    <row r="109" spans="1:19">
      <c r="A109" t="s">
        <v>9201</v>
      </c>
      <c r="B109">
        <v>103</v>
      </c>
      <c r="C109" t="s">
        <v>7328</v>
      </c>
      <c r="D109" t="s">
        <v>9408</v>
      </c>
      <c r="E109" t="s">
        <v>9424</v>
      </c>
      <c r="F109" t="s">
        <v>9410</v>
      </c>
      <c r="G109" t="s">
        <v>9425</v>
      </c>
      <c r="H109">
        <v>-2</v>
      </c>
      <c r="L109" t="s">
        <v>7330</v>
      </c>
      <c r="M109" t="s">
        <v>7330</v>
      </c>
      <c r="N109" s="501">
        <v>157</v>
      </c>
      <c r="O109">
        <v>24</v>
      </c>
      <c r="P109">
        <v>0</v>
      </c>
      <c r="Q109" s="501">
        <v>181</v>
      </c>
      <c r="R109" t="s">
        <v>7329</v>
      </c>
      <c r="S109">
        <v>0</v>
      </c>
    </row>
    <row r="110" spans="1:19">
      <c r="A110" t="s">
        <v>9201</v>
      </c>
      <c r="B110">
        <v>103</v>
      </c>
      <c r="C110" t="s">
        <v>7328</v>
      </c>
      <c r="D110" t="s">
        <v>9408</v>
      </c>
      <c r="E110" t="s">
        <v>9426</v>
      </c>
      <c r="F110" t="s">
        <v>9410</v>
      </c>
      <c r="G110" t="s">
        <v>9427</v>
      </c>
      <c r="H110">
        <v>-2.25</v>
      </c>
      <c r="L110" t="s">
        <v>7330</v>
      </c>
      <c r="M110" t="s">
        <v>7330</v>
      </c>
      <c r="N110" s="501">
        <v>5</v>
      </c>
      <c r="O110">
        <v>39</v>
      </c>
      <c r="P110">
        <v>0</v>
      </c>
      <c r="Q110" s="501">
        <v>44</v>
      </c>
      <c r="R110" t="s">
        <v>7329</v>
      </c>
      <c r="S110">
        <v>0</v>
      </c>
    </row>
    <row r="111" spans="1:19">
      <c r="A111" t="s">
        <v>9201</v>
      </c>
      <c r="B111">
        <v>103</v>
      </c>
      <c r="C111" t="s">
        <v>7328</v>
      </c>
      <c r="D111" t="s">
        <v>9408</v>
      </c>
      <c r="E111" t="s">
        <v>9428</v>
      </c>
      <c r="F111" t="s">
        <v>9410</v>
      </c>
      <c r="G111" t="s">
        <v>9429</v>
      </c>
      <c r="H111">
        <v>-2.5</v>
      </c>
      <c r="L111" t="s">
        <v>7330</v>
      </c>
      <c r="M111" t="s">
        <v>7330</v>
      </c>
      <c r="N111" s="501">
        <v>633</v>
      </c>
      <c r="O111">
        <v>9</v>
      </c>
      <c r="P111">
        <v>0</v>
      </c>
      <c r="Q111" s="501">
        <v>642</v>
      </c>
      <c r="R111" t="s">
        <v>7329</v>
      </c>
      <c r="S111">
        <v>0</v>
      </c>
    </row>
    <row r="112" spans="1:19">
      <c r="A112" t="s">
        <v>9201</v>
      </c>
      <c r="B112">
        <v>103</v>
      </c>
      <c r="C112" t="s">
        <v>7328</v>
      </c>
      <c r="D112" t="s">
        <v>9408</v>
      </c>
      <c r="E112" t="s">
        <v>9430</v>
      </c>
      <c r="F112" t="s">
        <v>9410</v>
      </c>
      <c r="G112" t="s">
        <v>9431</v>
      </c>
      <c r="H112">
        <v>-2.75</v>
      </c>
      <c r="L112" t="s">
        <v>7330</v>
      </c>
      <c r="M112" t="s">
        <v>7330</v>
      </c>
      <c r="N112" s="501">
        <v>442</v>
      </c>
      <c r="O112">
        <v>4</v>
      </c>
      <c r="P112">
        <v>0</v>
      </c>
      <c r="Q112" s="501">
        <v>446</v>
      </c>
      <c r="R112" t="s">
        <v>7329</v>
      </c>
      <c r="S112">
        <v>0</v>
      </c>
    </row>
    <row r="113" spans="1:19">
      <c r="A113" t="s">
        <v>9201</v>
      </c>
      <c r="B113">
        <v>103</v>
      </c>
      <c r="C113" t="s">
        <v>7328</v>
      </c>
      <c r="D113" t="s">
        <v>9408</v>
      </c>
      <c r="E113" t="s">
        <v>9432</v>
      </c>
      <c r="F113" t="s">
        <v>9410</v>
      </c>
      <c r="G113" t="s">
        <v>9433</v>
      </c>
      <c r="H113">
        <v>-3</v>
      </c>
      <c r="L113" t="s">
        <v>7330</v>
      </c>
      <c r="M113" t="s">
        <v>7330</v>
      </c>
      <c r="N113" s="501">
        <v>222</v>
      </c>
      <c r="O113">
        <v>4</v>
      </c>
      <c r="P113">
        <v>0</v>
      </c>
      <c r="Q113" s="501">
        <v>226</v>
      </c>
      <c r="R113" t="s">
        <v>7329</v>
      </c>
      <c r="S113">
        <v>0</v>
      </c>
    </row>
    <row r="114" spans="1:19">
      <c r="A114" t="s">
        <v>9201</v>
      </c>
      <c r="B114">
        <v>103</v>
      </c>
      <c r="C114" t="s">
        <v>7328</v>
      </c>
      <c r="D114" t="s">
        <v>9408</v>
      </c>
      <c r="E114" t="s">
        <v>9434</v>
      </c>
      <c r="F114" t="s">
        <v>9410</v>
      </c>
      <c r="G114" t="s">
        <v>9435</v>
      </c>
      <c r="H114">
        <v>-3.25</v>
      </c>
      <c r="L114" t="s">
        <v>7330</v>
      </c>
      <c r="M114" t="s">
        <v>7330</v>
      </c>
      <c r="N114" s="501">
        <v>35</v>
      </c>
      <c r="O114">
        <v>19</v>
      </c>
      <c r="P114">
        <v>0</v>
      </c>
      <c r="Q114" s="501">
        <v>54</v>
      </c>
      <c r="R114" t="s">
        <v>7329</v>
      </c>
      <c r="S114">
        <v>0</v>
      </c>
    </row>
    <row r="115" spans="1:19">
      <c r="A115" t="s">
        <v>9201</v>
      </c>
      <c r="B115">
        <v>103</v>
      </c>
      <c r="C115" t="s">
        <v>7328</v>
      </c>
      <c r="D115" t="s">
        <v>9408</v>
      </c>
      <c r="E115" t="s">
        <v>9436</v>
      </c>
      <c r="F115" t="s">
        <v>9410</v>
      </c>
      <c r="G115" t="s">
        <v>9437</v>
      </c>
      <c r="H115">
        <v>-3.5</v>
      </c>
      <c r="L115" t="s">
        <v>7330</v>
      </c>
      <c r="M115" t="s">
        <v>7330</v>
      </c>
      <c r="N115" s="501">
        <v>177</v>
      </c>
      <c r="O115">
        <v>4</v>
      </c>
      <c r="P115">
        <v>0</v>
      </c>
      <c r="Q115" s="501">
        <v>181</v>
      </c>
      <c r="R115" t="s">
        <v>7329</v>
      </c>
      <c r="S115">
        <v>0</v>
      </c>
    </row>
    <row r="116" spans="1:19">
      <c r="A116" t="s">
        <v>9201</v>
      </c>
      <c r="B116">
        <v>103</v>
      </c>
      <c r="C116" t="s">
        <v>7328</v>
      </c>
      <c r="D116" t="s">
        <v>9408</v>
      </c>
      <c r="E116" t="s">
        <v>9438</v>
      </c>
      <c r="F116" t="s">
        <v>9410</v>
      </c>
      <c r="G116" t="s">
        <v>9439</v>
      </c>
      <c r="H116">
        <v>-3.75</v>
      </c>
      <c r="L116" t="s">
        <v>7330</v>
      </c>
      <c r="M116" t="s">
        <v>7330</v>
      </c>
      <c r="N116" s="501">
        <v>25</v>
      </c>
      <c r="O116">
        <v>4</v>
      </c>
      <c r="P116">
        <v>0</v>
      </c>
      <c r="Q116" s="501">
        <v>29</v>
      </c>
      <c r="R116" t="s">
        <v>7329</v>
      </c>
      <c r="S116">
        <v>0</v>
      </c>
    </row>
    <row r="117" spans="1:19">
      <c r="A117" t="s">
        <v>9201</v>
      </c>
      <c r="B117">
        <v>103</v>
      </c>
      <c r="C117" t="s">
        <v>7328</v>
      </c>
      <c r="D117" t="s">
        <v>9408</v>
      </c>
      <c r="E117" t="s">
        <v>9440</v>
      </c>
      <c r="F117" t="s">
        <v>9410</v>
      </c>
      <c r="G117" t="s">
        <v>9441</v>
      </c>
      <c r="H117">
        <v>-4</v>
      </c>
      <c r="L117" t="s">
        <v>7330</v>
      </c>
      <c r="M117" t="s">
        <v>7330</v>
      </c>
      <c r="N117" s="501">
        <v>539</v>
      </c>
      <c r="O117">
        <v>19</v>
      </c>
      <c r="P117">
        <v>0</v>
      </c>
      <c r="Q117" s="501">
        <v>558</v>
      </c>
      <c r="R117" t="s">
        <v>7329</v>
      </c>
      <c r="S117">
        <v>0</v>
      </c>
    </row>
    <row r="118" spans="1:19">
      <c r="A118" t="s">
        <v>9201</v>
      </c>
      <c r="B118">
        <v>103</v>
      </c>
      <c r="C118" t="s">
        <v>7328</v>
      </c>
      <c r="D118" t="s">
        <v>9408</v>
      </c>
      <c r="E118" t="s">
        <v>9442</v>
      </c>
      <c r="F118" t="s">
        <v>9410</v>
      </c>
      <c r="G118" t="s">
        <v>9443</v>
      </c>
      <c r="H118">
        <v>-4.25</v>
      </c>
      <c r="L118" t="s">
        <v>7330</v>
      </c>
      <c r="M118" t="s">
        <v>7330</v>
      </c>
      <c r="N118" s="501">
        <v>255</v>
      </c>
      <c r="O118">
        <v>4</v>
      </c>
      <c r="P118">
        <v>0</v>
      </c>
      <c r="Q118" s="501">
        <v>259</v>
      </c>
      <c r="R118" t="s">
        <v>7329</v>
      </c>
      <c r="S118">
        <v>0</v>
      </c>
    </row>
    <row r="119" spans="1:19">
      <c r="A119" t="s">
        <v>9201</v>
      </c>
      <c r="B119">
        <v>103</v>
      </c>
      <c r="C119" t="s">
        <v>7328</v>
      </c>
      <c r="D119" t="s">
        <v>9408</v>
      </c>
      <c r="E119" t="s">
        <v>9444</v>
      </c>
      <c r="F119" t="s">
        <v>9410</v>
      </c>
      <c r="G119" t="s">
        <v>9445</v>
      </c>
      <c r="H119">
        <v>-4.5</v>
      </c>
      <c r="L119" t="s">
        <v>7330</v>
      </c>
      <c r="M119" t="s">
        <v>7330</v>
      </c>
      <c r="N119" s="501">
        <v>50</v>
      </c>
      <c r="O119">
        <v>4</v>
      </c>
      <c r="P119">
        <v>0</v>
      </c>
      <c r="Q119" s="501">
        <v>54</v>
      </c>
      <c r="R119" t="s">
        <v>7329</v>
      </c>
      <c r="S119">
        <v>0</v>
      </c>
    </row>
    <row r="120" spans="1:19">
      <c r="A120" t="s">
        <v>9201</v>
      </c>
      <c r="B120">
        <v>103</v>
      </c>
      <c r="C120" t="s">
        <v>7328</v>
      </c>
      <c r="D120" t="s">
        <v>9408</v>
      </c>
      <c r="E120" t="s">
        <v>9446</v>
      </c>
      <c r="F120" t="s">
        <v>9410</v>
      </c>
      <c r="G120" t="s">
        <v>9447</v>
      </c>
      <c r="H120">
        <v>-4.75</v>
      </c>
      <c r="L120" t="s">
        <v>7330</v>
      </c>
      <c r="M120" t="s">
        <v>7330</v>
      </c>
      <c r="N120" s="501">
        <v>140</v>
      </c>
      <c r="O120" s="501">
        <v>4</v>
      </c>
      <c r="P120" s="501">
        <v>0</v>
      </c>
      <c r="Q120" s="501">
        <v>144</v>
      </c>
      <c r="R120" t="s">
        <v>7329</v>
      </c>
      <c r="S120">
        <v>0</v>
      </c>
    </row>
    <row r="121" spans="1:19">
      <c r="A121" t="s">
        <v>9201</v>
      </c>
      <c r="B121">
        <v>103</v>
      </c>
      <c r="C121" t="s">
        <v>7328</v>
      </c>
      <c r="D121" t="s">
        <v>9408</v>
      </c>
      <c r="E121" t="s">
        <v>9448</v>
      </c>
      <c r="F121" t="s">
        <v>9410</v>
      </c>
      <c r="G121" t="s">
        <v>9449</v>
      </c>
      <c r="H121">
        <v>-5</v>
      </c>
      <c r="L121" t="s">
        <v>7330</v>
      </c>
      <c r="M121" t="s">
        <v>7330</v>
      </c>
      <c r="N121" s="501">
        <v>755</v>
      </c>
      <c r="O121">
        <v>4</v>
      </c>
      <c r="P121">
        <v>0</v>
      </c>
      <c r="Q121" s="501">
        <v>759</v>
      </c>
      <c r="R121" t="s">
        <v>7329</v>
      </c>
      <c r="S121">
        <v>0</v>
      </c>
    </row>
    <row r="122" spans="1:19">
      <c r="A122" t="s">
        <v>9201</v>
      </c>
      <c r="B122">
        <v>103</v>
      </c>
      <c r="C122" t="s">
        <v>7328</v>
      </c>
      <c r="D122" t="s">
        <v>9408</v>
      </c>
      <c r="E122" t="s">
        <v>9450</v>
      </c>
      <c r="F122" t="s">
        <v>9410</v>
      </c>
      <c r="G122" t="s">
        <v>9451</v>
      </c>
      <c r="H122">
        <v>-5.25</v>
      </c>
      <c r="L122" t="s">
        <v>7330</v>
      </c>
      <c r="M122" t="s">
        <v>7330</v>
      </c>
      <c r="N122" s="501">
        <v>115</v>
      </c>
      <c r="P122">
        <v>0</v>
      </c>
      <c r="Q122" s="501">
        <v>115</v>
      </c>
      <c r="R122" t="s">
        <v>7329</v>
      </c>
      <c r="S122">
        <v>0</v>
      </c>
    </row>
    <row r="123" spans="1:19">
      <c r="A123" t="s">
        <v>9201</v>
      </c>
      <c r="B123">
        <v>103</v>
      </c>
      <c r="C123" t="s">
        <v>7328</v>
      </c>
      <c r="D123" t="s">
        <v>9408</v>
      </c>
      <c r="E123" t="s">
        <v>9452</v>
      </c>
      <c r="F123" t="s">
        <v>9410</v>
      </c>
      <c r="G123" t="s">
        <v>9453</v>
      </c>
      <c r="H123">
        <v>-5.5</v>
      </c>
      <c r="L123" t="s">
        <v>7330</v>
      </c>
      <c r="M123" t="s">
        <v>7330</v>
      </c>
      <c r="N123" s="501">
        <v>79</v>
      </c>
      <c r="O123" s="501"/>
      <c r="P123" s="501">
        <v>0</v>
      </c>
      <c r="Q123" s="501">
        <v>79</v>
      </c>
      <c r="R123" t="s">
        <v>7329</v>
      </c>
      <c r="S123">
        <v>0</v>
      </c>
    </row>
    <row r="124" spans="1:19">
      <c r="A124" t="s">
        <v>9201</v>
      </c>
      <c r="B124">
        <v>103</v>
      </c>
      <c r="C124" t="s">
        <v>7328</v>
      </c>
      <c r="D124" t="s">
        <v>9408</v>
      </c>
      <c r="E124" t="s">
        <v>9454</v>
      </c>
      <c r="F124" t="s">
        <v>9410</v>
      </c>
      <c r="G124" t="s">
        <v>9455</v>
      </c>
      <c r="H124">
        <v>-5.75</v>
      </c>
      <c r="L124" t="s">
        <v>7330</v>
      </c>
      <c r="M124" t="s">
        <v>7330</v>
      </c>
      <c r="N124" s="501">
        <v>160</v>
      </c>
      <c r="O124" s="501"/>
      <c r="P124" s="501">
        <v>0</v>
      </c>
      <c r="Q124" s="501">
        <v>160</v>
      </c>
      <c r="R124" t="s">
        <v>7329</v>
      </c>
      <c r="S124">
        <v>0</v>
      </c>
    </row>
    <row r="125" spans="1:19">
      <c r="A125" t="s">
        <v>9201</v>
      </c>
      <c r="B125">
        <v>103</v>
      </c>
      <c r="C125" t="s">
        <v>7328</v>
      </c>
      <c r="D125" t="s">
        <v>9408</v>
      </c>
      <c r="E125" t="s">
        <v>9456</v>
      </c>
      <c r="F125" t="s">
        <v>9410</v>
      </c>
      <c r="G125" t="s">
        <v>9457</v>
      </c>
      <c r="H125">
        <v>-6</v>
      </c>
      <c r="L125" t="s">
        <v>7330</v>
      </c>
      <c r="M125" t="s">
        <v>7330</v>
      </c>
      <c r="N125" s="501">
        <v>220</v>
      </c>
      <c r="P125">
        <v>0</v>
      </c>
      <c r="Q125" s="501">
        <v>220</v>
      </c>
      <c r="R125" t="s">
        <v>7329</v>
      </c>
      <c r="S125">
        <v>0</v>
      </c>
    </row>
    <row r="126" spans="1:19">
      <c r="A126" t="s">
        <v>9201</v>
      </c>
      <c r="B126">
        <v>103</v>
      </c>
      <c r="C126" t="s">
        <v>7328</v>
      </c>
      <c r="D126" t="s">
        <v>9408</v>
      </c>
      <c r="E126" t="s">
        <v>9458</v>
      </c>
      <c r="F126" t="s">
        <v>9410</v>
      </c>
      <c r="G126" t="s">
        <v>9459</v>
      </c>
      <c r="H126">
        <v>-6.5</v>
      </c>
      <c r="L126" t="s">
        <v>7330</v>
      </c>
      <c r="M126" t="s">
        <v>7330</v>
      </c>
      <c r="N126" s="501">
        <v>535</v>
      </c>
      <c r="O126" s="501">
        <v>4</v>
      </c>
      <c r="P126" s="501">
        <v>0</v>
      </c>
      <c r="Q126" s="501">
        <v>539</v>
      </c>
      <c r="R126" t="s">
        <v>7329</v>
      </c>
      <c r="S126">
        <v>0</v>
      </c>
    </row>
    <row r="127" spans="1:19">
      <c r="A127" t="s">
        <v>9201</v>
      </c>
      <c r="B127">
        <v>103</v>
      </c>
      <c r="C127" t="s">
        <v>7328</v>
      </c>
      <c r="D127" t="s">
        <v>9408</v>
      </c>
      <c r="E127" t="s">
        <v>9460</v>
      </c>
      <c r="F127" t="s">
        <v>9410</v>
      </c>
      <c r="G127" t="s">
        <v>9461</v>
      </c>
      <c r="H127">
        <v>-7</v>
      </c>
      <c r="L127" t="s">
        <v>7330</v>
      </c>
      <c r="M127" t="s">
        <v>7330</v>
      </c>
      <c r="N127" s="501">
        <v>405</v>
      </c>
      <c r="O127" s="501"/>
      <c r="P127" s="501">
        <v>0</v>
      </c>
      <c r="Q127" s="501">
        <v>405</v>
      </c>
      <c r="R127" t="s">
        <v>7329</v>
      </c>
      <c r="S127">
        <v>0</v>
      </c>
    </row>
    <row r="128" spans="1:19">
      <c r="A128" t="s">
        <v>9201</v>
      </c>
      <c r="B128">
        <v>103</v>
      </c>
      <c r="C128" t="s">
        <v>7328</v>
      </c>
      <c r="D128" t="s">
        <v>9408</v>
      </c>
      <c r="E128" t="s">
        <v>9462</v>
      </c>
      <c r="F128" t="s">
        <v>9410</v>
      </c>
      <c r="G128" t="s">
        <v>9463</v>
      </c>
      <c r="H128">
        <v>-7.5</v>
      </c>
      <c r="L128" t="s">
        <v>7330</v>
      </c>
      <c r="M128" t="s">
        <v>7330</v>
      </c>
      <c r="N128" s="501">
        <v>390</v>
      </c>
      <c r="O128">
        <v>20</v>
      </c>
      <c r="P128">
        <v>0</v>
      </c>
      <c r="Q128" s="501">
        <v>410</v>
      </c>
      <c r="R128" t="s">
        <v>7329</v>
      </c>
      <c r="S128">
        <v>0</v>
      </c>
    </row>
    <row r="129" spans="1:19">
      <c r="A129" t="s">
        <v>9201</v>
      </c>
      <c r="B129">
        <v>103</v>
      </c>
      <c r="C129" t="s">
        <v>7328</v>
      </c>
      <c r="D129" t="s">
        <v>9408</v>
      </c>
      <c r="E129" t="s">
        <v>9464</v>
      </c>
      <c r="F129" t="s">
        <v>9410</v>
      </c>
      <c r="G129" t="s">
        <v>9465</v>
      </c>
      <c r="H129">
        <v>-8</v>
      </c>
      <c r="L129" t="s">
        <v>7330</v>
      </c>
      <c r="M129" t="s">
        <v>7330</v>
      </c>
      <c r="N129" s="501">
        <v>205</v>
      </c>
      <c r="P129">
        <v>0</v>
      </c>
      <c r="Q129" s="501">
        <v>205</v>
      </c>
      <c r="R129" t="s">
        <v>7329</v>
      </c>
      <c r="S129">
        <v>0</v>
      </c>
    </row>
    <row r="130" spans="1:19">
      <c r="A130" t="s">
        <v>9201</v>
      </c>
      <c r="B130">
        <v>103</v>
      </c>
      <c r="C130" t="s">
        <v>7328</v>
      </c>
      <c r="D130" t="s">
        <v>9408</v>
      </c>
      <c r="E130" t="s">
        <v>9466</v>
      </c>
      <c r="F130" t="s">
        <v>9410</v>
      </c>
      <c r="G130" t="s">
        <v>9467</v>
      </c>
      <c r="H130">
        <v>-8.5</v>
      </c>
      <c r="L130" t="s">
        <v>7330</v>
      </c>
      <c r="M130" t="s">
        <v>7330</v>
      </c>
      <c r="N130" s="501">
        <v>195</v>
      </c>
      <c r="P130">
        <v>0</v>
      </c>
      <c r="Q130" s="501">
        <v>195</v>
      </c>
      <c r="R130" t="s">
        <v>7329</v>
      </c>
      <c r="S130">
        <v>0</v>
      </c>
    </row>
    <row r="131" spans="1:19">
      <c r="A131" t="s">
        <v>9201</v>
      </c>
      <c r="B131">
        <v>103</v>
      </c>
      <c r="C131" t="s">
        <v>7328</v>
      </c>
      <c r="D131" t="s">
        <v>9408</v>
      </c>
      <c r="E131" t="s">
        <v>9468</v>
      </c>
      <c r="F131" t="s">
        <v>9410</v>
      </c>
      <c r="G131" t="s">
        <v>9469</v>
      </c>
      <c r="H131">
        <v>-9</v>
      </c>
      <c r="L131" t="s">
        <v>7330</v>
      </c>
      <c r="M131" t="s">
        <v>7330</v>
      </c>
      <c r="N131" s="501">
        <v>175</v>
      </c>
      <c r="O131">
        <v>15</v>
      </c>
      <c r="P131">
        <v>0</v>
      </c>
      <c r="Q131" s="501">
        <v>190</v>
      </c>
      <c r="R131" t="s">
        <v>7329</v>
      </c>
      <c r="S131">
        <v>0</v>
      </c>
    </row>
    <row r="132" spans="1:19">
      <c r="A132" t="s">
        <v>9201</v>
      </c>
      <c r="B132">
        <v>103</v>
      </c>
      <c r="C132" t="s">
        <v>7328</v>
      </c>
      <c r="D132" t="s">
        <v>9408</v>
      </c>
      <c r="E132" t="s">
        <v>9470</v>
      </c>
      <c r="F132" t="s">
        <v>9410</v>
      </c>
      <c r="G132" t="s">
        <v>9471</v>
      </c>
      <c r="H132">
        <v>-9.5</v>
      </c>
      <c r="L132" t="s">
        <v>7330</v>
      </c>
      <c r="M132" t="s">
        <v>7330</v>
      </c>
      <c r="N132" s="501">
        <v>40</v>
      </c>
      <c r="O132" s="501"/>
      <c r="P132" s="501">
        <v>0</v>
      </c>
      <c r="Q132" s="501">
        <v>40</v>
      </c>
      <c r="R132" t="s">
        <v>7329</v>
      </c>
      <c r="S132">
        <v>0</v>
      </c>
    </row>
    <row r="133" spans="1:19">
      <c r="A133" t="s">
        <v>9201</v>
      </c>
      <c r="B133">
        <v>103</v>
      </c>
      <c r="C133" t="s">
        <v>7328</v>
      </c>
      <c r="D133" t="s">
        <v>9408</v>
      </c>
      <c r="E133" t="s">
        <v>9472</v>
      </c>
      <c r="F133" t="s">
        <v>9410</v>
      </c>
      <c r="G133" t="s">
        <v>9473</v>
      </c>
      <c r="H133">
        <v>-10</v>
      </c>
      <c r="L133" t="s">
        <v>7330</v>
      </c>
      <c r="M133" t="s">
        <v>7330</v>
      </c>
      <c r="N133" s="501">
        <v>215</v>
      </c>
      <c r="O133" s="501"/>
      <c r="P133" s="501">
        <v>0</v>
      </c>
      <c r="Q133" s="501">
        <v>215</v>
      </c>
      <c r="R133" t="s">
        <v>7329</v>
      </c>
      <c r="S133">
        <v>0</v>
      </c>
    </row>
    <row r="134" spans="1:19">
      <c r="A134" t="s">
        <v>9201</v>
      </c>
      <c r="B134">
        <v>103</v>
      </c>
      <c r="C134" t="s">
        <v>7328</v>
      </c>
      <c r="D134" t="s">
        <v>9474</v>
      </c>
      <c r="E134" t="s">
        <v>9475</v>
      </c>
      <c r="F134" t="s">
        <v>9476</v>
      </c>
      <c r="G134" t="s">
        <v>9477</v>
      </c>
      <c r="H134">
        <v>0</v>
      </c>
      <c r="L134" t="s">
        <v>7330</v>
      </c>
      <c r="M134" t="s">
        <v>7330</v>
      </c>
      <c r="N134" s="501">
        <v>4415</v>
      </c>
      <c r="O134">
        <v>100</v>
      </c>
      <c r="P134">
        <v>0</v>
      </c>
      <c r="Q134" s="501">
        <v>4515</v>
      </c>
      <c r="R134" t="s">
        <v>7329</v>
      </c>
      <c r="S134">
        <v>0</v>
      </c>
    </row>
    <row r="135" spans="1:19">
      <c r="A135" t="s">
        <v>9201</v>
      </c>
      <c r="B135">
        <v>103</v>
      </c>
      <c r="C135" t="s">
        <v>7328</v>
      </c>
      <c r="D135" t="s">
        <v>9474</v>
      </c>
      <c r="E135" t="s">
        <v>9478</v>
      </c>
      <c r="F135" t="s">
        <v>9476</v>
      </c>
      <c r="G135" t="s">
        <v>9479</v>
      </c>
      <c r="H135">
        <v>-0.5</v>
      </c>
      <c r="L135" t="s">
        <v>7330</v>
      </c>
      <c r="M135" t="s">
        <v>7330</v>
      </c>
      <c r="N135" s="501">
        <v>810</v>
      </c>
      <c r="O135">
        <v>130</v>
      </c>
      <c r="P135">
        <v>0</v>
      </c>
      <c r="Q135" s="501">
        <v>940</v>
      </c>
      <c r="R135" t="s">
        <v>7329</v>
      </c>
      <c r="S135">
        <v>0</v>
      </c>
    </row>
    <row r="136" spans="1:19">
      <c r="A136" t="s">
        <v>9201</v>
      </c>
      <c r="B136">
        <v>103</v>
      </c>
      <c r="C136" t="s">
        <v>7328</v>
      </c>
      <c r="D136" t="s">
        <v>9474</v>
      </c>
      <c r="E136" t="s">
        <v>9480</v>
      </c>
      <c r="F136" t="s">
        <v>9476</v>
      </c>
      <c r="G136" t="s">
        <v>9481</v>
      </c>
      <c r="H136">
        <v>-0.75</v>
      </c>
      <c r="L136" t="s">
        <v>7330</v>
      </c>
      <c r="M136" t="s">
        <v>7330</v>
      </c>
      <c r="N136" s="501">
        <v>325</v>
      </c>
      <c r="O136">
        <v>50</v>
      </c>
      <c r="P136">
        <v>0</v>
      </c>
      <c r="Q136" s="501">
        <v>375</v>
      </c>
      <c r="R136" t="s">
        <v>7329</v>
      </c>
      <c r="S136">
        <v>0</v>
      </c>
    </row>
    <row r="137" spans="1:19">
      <c r="A137" t="s">
        <v>9201</v>
      </c>
      <c r="B137">
        <v>103</v>
      </c>
      <c r="C137" t="s">
        <v>7328</v>
      </c>
      <c r="D137" t="s">
        <v>9474</v>
      </c>
      <c r="E137" t="s">
        <v>9482</v>
      </c>
      <c r="F137" t="s">
        <v>9476</v>
      </c>
      <c r="G137" t="s">
        <v>9483</v>
      </c>
      <c r="H137">
        <v>-1</v>
      </c>
      <c r="L137" t="s">
        <v>7330</v>
      </c>
      <c r="M137" t="s">
        <v>7330</v>
      </c>
      <c r="N137" s="501">
        <v>2100</v>
      </c>
      <c r="O137">
        <v>55</v>
      </c>
      <c r="P137">
        <v>0</v>
      </c>
      <c r="Q137" s="501">
        <v>2155</v>
      </c>
      <c r="R137" t="s">
        <v>7329</v>
      </c>
      <c r="S137">
        <v>0</v>
      </c>
    </row>
    <row r="138" spans="1:19">
      <c r="A138" t="s">
        <v>9201</v>
      </c>
      <c r="B138">
        <v>103</v>
      </c>
      <c r="C138" t="s">
        <v>7328</v>
      </c>
      <c r="D138" t="s">
        <v>9474</v>
      </c>
      <c r="E138" t="s">
        <v>9484</v>
      </c>
      <c r="F138" t="s">
        <v>9476</v>
      </c>
      <c r="G138" t="s">
        <v>9485</v>
      </c>
      <c r="H138">
        <v>-1.25</v>
      </c>
      <c r="L138" t="s">
        <v>7330</v>
      </c>
      <c r="M138" t="s">
        <v>7330</v>
      </c>
      <c r="N138" s="501">
        <v>1855</v>
      </c>
      <c r="P138">
        <v>0</v>
      </c>
      <c r="Q138" s="501">
        <v>1855</v>
      </c>
      <c r="R138" t="s">
        <v>7329</v>
      </c>
      <c r="S138">
        <v>0</v>
      </c>
    </row>
    <row r="139" spans="1:19">
      <c r="A139" t="s">
        <v>9201</v>
      </c>
      <c r="B139">
        <v>103</v>
      </c>
      <c r="C139" t="s">
        <v>7328</v>
      </c>
      <c r="D139" t="s">
        <v>9474</v>
      </c>
      <c r="E139" t="s">
        <v>9486</v>
      </c>
      <c r="F139" t="s">
        <v>9476</v>
      </c>
      <c r="G139" t="s">
        <v>9487</v>
      </c>
      <c r="H139">
        <v>-1.5</v>
      </c>
      <c r="L139" t="s">
        <v>7330</v>
      </c>
      <c r="M139" t="s">
        <v>7330</v>
      </c>
      <c r="N139" s="501">
        <v>2405</v>
      </c>
      <c r="O139">
        <v>5</v>
      </c>
      <c r="P139">
        <v>0</v>
      </c>
      <c r="Q139" s="501">
        <v>2410</v>
      </c>
      <c r="R139" t="s">
        <v>7329</v>
      </c>
      <c r="S139">
        <v>0</v>
      </c>
    </row>
    <row r="140" spans="1:19">
      <c r="A140" t="s">
        <v>9201</v>
      </c>
      <c r="B140">
        <v>103</v>
      </c>
      <c r="C140" t="s">
        <v>7328</v>
      </c>
      <c r="D140" t="s">
        <v>9474</v>
      </c>
      <c r="E140" t="s">
        <v>9488</v>
      </c>
      <c r="F140" t="s">
        <v>9476</v>
      </c>
      <c r="G140" t="s">
        <v>9489</v>
      </c>
      <c r="H140">
        <v>-1.75</v>
      </c>
      <c r="L140" t="s">
        <v>7330</v>
      </c>
      <c r="M140" t="s">
        <v>7330</v>
      </c>
      <c r="N140" s="501">
        <v>2400</v>
      </c>
      <c r="O140" s="501">
        <v>20</v>
      </c>
      <c r="P140" s="501">
        <v>0</v>
      </c>
      <c r="Q140" s="501">
        <v>2420</v>
      </c>
      <c r="R140" t="s">
        <v>7329</v>
      </c>
      <c r="S140">
        <v>0</v>
      </c>
    </row>
    <row r="141" spans="1:19">
      <c r="A141" t="s">
        <v>9201</v>
      </c>
      <c r="B141">
        <v>103</v>
      </c>
      <c r="C141" t="s">
        <v>7328</v>
      </c>
      <c r="D141" t="s">
        <v>9474</v>
      </c>
      <c r="E141" t="s">
        <v>9490</v>
      </c>
      <c r="F141" t="s">
        <v>9476</v>
      </c>
      <c r="G141" t="s">
        <v>9491</v>
      </c>
      <c r="H141">
        <v>-2</v>
      </c>
      <c r="L141" t="s">
        <v>7330</v>
      </c>
      <c r="M141" t="s">
        <v>7330</v>
      </c>
      <c r="N141" s="501">
        <v>3325</v>
      </c>
      <c r="O141" s="501">
        <v>100</v>
      </c>
      <c r="P141" s="501">
        <v>0</v>
      </c>
      <c r="Q141" s="501">
        <v>3425</v>
      </c>
      <c r="R141" t="s">
        <v>7329</v>
      </c>
      <c r="S141">
        <v>0</v>
      </c>
    </row>
    <row r="142" spans="1:19">
      <c r="A142" t="s">
        <v>9201</v>
      </c>
      <c r="B142">
        <v>103</v>
      </c>
      <c r="C142" t="s">
        <v>7328</v>
      </c>
      <c r="D142" t="s">
        <v>9474</v>
      </c>
      <c r="E142" t="s">
        <v>9492</v>
      </c>
      <c r="F142" t="s">
        <v>9476</v>
      </c>
      <c r="G142" t="s">
        <v>9493</v>
      </c>
      <c r="H142">
        <v>-2.25</v>
      </c>
      <c r="L142" t="s">
        <v>7330</v>
      </c>
      <c r="M142" t="s">
        <v>7330</v>
      </c>
      <c r="N142" s="501">
        <v>2480</v>
      </c>
      <c r="O142">
        <v>135</v>
      </c>
      <c r="P142">
        <v>0</v>
      </c>
      <c r="Q142" s="501">
        <v>2615</v>
      </c>
      <c r="R142" t="s">
        <v>7329</v>
      </c>
      <c r="S142">
        <v>0</v>
      </c>
    </row>
    <row r="143" spans="1:19">
      <c r="A143" t="s">
        <v>9201</v>
      </c>
      <c r="B143">
        <v>103</v>
      </c>
      <c r="C143" t="s">
        <v>7328</v>
      </c>
      <c r="D143" t="s">
        <v>9474</v>
      </c>
      <c r="E143" t="s">
        <v>9494</v>
      </c>
      <c r="F143" t="s">
        <v>9476</v>
      </c>
      <c r="G143" t="s">
        <v>9495</v>
      </c>
      <c r="H143">
        <v>-2.5</v>
      </c>
      <c r="L143" t="s">
        <v>7330</v>
      </c>
      <c r="M143" t="s">
        <v>7330</v>
      </c>
      <c r="N143" s="501">
        <v>2650</v>
      </c>
      <c r="O143" s="501">
        <v>185</v>
      </c>
      <c r="P143" s="501">
        <v>0</v>
      </c>
      <c r="Q143" s="501">
        <v>2835</v>
      </c>
      <c r="R143" t="s">
        <v>7329</v>
      </c>
      <c r="S143">
        <v>0</v>
      </c>
    </row>
    <row r="144" spans="1:19">
      <c r="A144" t="s">
        <v>9201</v>
      </c>
      <c r="B144">
        <v>103</v>
      </c>
      <c r="C144" t="s">
        <v>7328</v>
      </c>
      <c r="D144" t="s">
        <v>9474</v>
      </c>
      <c r="E144" t="s">
        <v>9496</v>
      </c>
      <c r="F144" t="s">
        <v>9476</v>
      </c>
      <c r="G144" t="s">
        <v>9497</v>
      </c>
      <c r="H144">
        <v>-2.75</v>
      </c>
      <c r="L144" t="s">
        <v>7330</v>
      </c>
      <c r="M144" t="s">
        <v>7330</v>
      </c>
      <c r="N144" s="501">
        <v>3765</v>
      </c>
      <c r="O144" s="501">
        <v>105</v>
      </c>
      <c r="P144" s="501">
        <v>0</v>
      </c>
      <c r="Q144" s="501">
        <v>3870</v>
      </c>
      <c r="R144" t="s">
        <v>7329</v>
      </c>
      <c r="S144">
        <v>0</v>
      </c>
    </row>
    <row r="145" spans="1:19">
      <c r="A145" t="s">
        <v>9201</v>
      </c>
      <c r="B145">
        <v>103</v>
      </c>
      <c r="C145" t="s">
        <v>7328</v>
      </c>
      <c r="D145" t="s">
        <v>9474</v>
      </c>
      <c r="E145" t="s">
        <v>9498</v>
      </c>
      <c r="F145" t="s">
        <v>9476</v>
      </c>
      <c r="G145" t="s">
        <v>9499</v>
      </c>
      <c r="H145">
        <v>-3</v>
      </c>
      <c r="L145" t="s">
        <v>7330</v>
      </c>
      <c r="M145" t="s">
        <v>7330</v>
      </c>
      <c r="N145" s="501">
        <v>3985</v>
      </c>
      <c r="O145" s="501">
        <v>65</v>
      </c>
      <c r="P145" s="501">
        <v>0</v>
      </c>
      <c r="Q145" s="501">
        <v>4050</v>
      </c>
      <c r="R145" t="s">
        <v>7329</v>
      </c>
      <c r="S145">
        <v>0</v>
      </c>
    </row>
    <row r="146" spans="1:19">
      <c r="A146" t="s">
        <v>9201</v>
      </c>
      <c r="B146">
        <v>103</v>
      </c>
      <c r="C146" t="s">
        <v>7328</v>
      </c>
      <c r="D146" t="s">
        <v>9474</v>
      </c>
      <c r="E146" t="s">
        <v>9500</v>
      </c>
      <c r="F146" t="s">
        <v>9476</v>
      </c>
      <c r="G146" t="s">
        <v>9501</v>
      </c>
      <c r="H146">
        <v>-3.25</v>
      </c>
      <c r="L146" t="s">
        <v>7330</v>
      </c>
      <c r="M146" t="s">
        <v>7330</v>
      </c>
      <c r="N146" s="501">
        <v>2420</v>
      </c>
      <c r="O146" s="501">
        <v>95</v>
      </c>
      <c r="P146" s="501">
        <v>0</v>
      </c>
      <c r="Q146" s="501">
        <v>2515</v>
      </c>
      <c r="R146" t="s">
        <v>7329</v>
      </c>
      <c r="S146">
        <v>0</v>
      </c>
    </row>
    <row r="147" spans="1:19">
      <c r="A147" t="s">
        <v>9201</v>
      </c>
      <c r="B147">
        <v>103</v>
      </c>
      <c r="C147" t="s">
        <v>7328</v>
      </c>
      <c r="D147" t="s">
        <v>9474</v>
      </c>
      <c r="E147" t="s">
        <v>9502</v>
      </c>
      <c r="F147" t="s">
        <v>9476</v>
      </c>
      <c r="G147" t="s">
        <v>9503</v>
      </c>
      <c r="H147">
        <v>-3.5</v>
      </c>
      <c r="L147" t="s">
        <v>7330</v>
      </c>
      <c r="M147" t="s">
        <v>7330</v>
      </c>
      <c r="N147" s="501">
        <v>3020</v>
      </c>
      <c r="O147">
        <v>55</v>
      </c>
      <c r="P147">
        <v>0</v>
      </c>
      <c r="Q147" s="501">
        <v>3075</v>
      </c>
      <c r="R147" t="s">
        <v>7329</v>
      </c>
      <c r="S147">
        <v>0</v>
      </c>
    </row>
    <row r="148" spans="1:19">
      <c r="A148" t="s">
        <v>9201</v>
      </c>
      <c r="B148">
        <v>103</v>
      </c>
      <c r="C148" t="s">
        <v>7328</v>
      </c>
      <c r="D148" t="s">
        <v>9474</v>
      </c>
      <c r="E148" t="s">
        <v>9504</v>
      </c>
      <c r="F148" t="s">
        <v>9476</v>
      </c>
      <c r="G148" t="s">
        <v>9505</v>
      </c>
      <c r="H148">
        <v>-3.75</v>
      </c>
      <c r="L148" t="s">
        <v>7330</v>
      </c>
      <c r="M148" t="s">
        <v>7330</v>
      </c>
      <c r="N148" s="501">
        <v>2620</v>
      </c>
      <c r="O148">
        <v>90</v>
      </c>
      <c r="P148">
        <v>0</v>
      </c>
      <c r="Q148" s="501">
        <v>2710</v>
      </c>
      <c r="R148" t="s">
        <v>7329</v>
      </c>
      <c r="S148">
        <v>0</v>
      </c>
    </row>
    <row r="149" spans="1:19">
      <c r="A149" t="s">
        <v>9201</v>
      </c>
      <c r="B149">
        <v>103</v>
      </c>
      <c r="C149" t="s">
        <v>7328</v>
      </c>
      <c r="D149" t="s">
        <v>9474</v>
      </c>
      <c r="E149" t="s">
        <v>9506</v>
      </c>
      <c r="F149" t="s">
        <v>9476</v>
      </c>
      <c r="G149" t="s">
        <v>9507</v>
      </c>
      <c r="H149">
        <v>-4</v>
      </c>
      <c r="L149" t="s">
        <v>7330</v>
      </c>
      <c r="M149" t="s">
        <v>7330</v>
      </c>
      <c r="N149" s="501">
        <v>2445</v>
      </c>
      <c r="P149">
        <v>0</v>
      </c>
      <c r="Q149" s="501">
        <v>2445</v>
      </c>
      <c r="R149" t="s">
        <v>7329</v>
      </c>
      <c r="S149">
        <v>0</v>
      </c>
    </row>
    <row r="150" spans="1:19">
      <c r="A150" t="s">
        <v>9201</v>
      </c>
      <c r="B150">
        <v>103</v>
      </c>
      <c r="C150" t="s">
        <v>7328</v>
      </c>
      <c r="D150" t="s">
        <v>9474</v>
      </c>
      <c r="E150" t="s">
        <v>9508</v>
      </c>
      <c r="F150" t="s">
        <v>9476</v>
      </c>
      <c r="G150" t="s">
        <v>9509</v>
      </c>
      <c r="H150">
        <v>-4.25</v>
      </c>
      <c r="L150" t="s">
        <v>7330</v>
      </c>
      <c r="M150" t="s">
        <v>7330</v>
      </c>
      <c r="N150" s="501">
        <v>2480</v>
      </c>
      <c r="O150">
        <v>15</v>
      </c>
      <c r="P150">
        <v>0</v>
      </c>
      <c r="Q150" s="501">
        <v>2495</v>
      </c>
      <c r="R150" t="s">
        <v>7329</v>
      </c>
      <c r="S150">
        <v>0</v>
      </c>
    </row>
    <row r="151" spans="1:19">
      <c r="A151" t="s">
        <v>9201</v>
      </c>
      <c r="B151">
        <v>103</v>
      </c>
      <c r="C151" t="s">
        <v>7328</v>
      </c>
      <c r="D151" t="s">
        <v>9474</v>
      </c>
      <c r="E151" t="s">
        <v>9510</v>
      </c>
      <c r="F151" t="s">
        <v>9476</v>
      </c>
      <c r="G151" t="s">
        <v>9511</v>
      </c>
      <c r="H151">
        <v>-4.5</v>
      </c>
      <c r="L151" t="s">
        <v>7330</v>
      </c>
      <c r="M151" t="s">
        <v>7330</v>
      </c>
      <c r="N151" s="501">
        <v>2115</v>
      </c>
      <c r="O151">
        <v>35</v>
      </c>
      <c r="P151">
        <v>0</v>
      </c>
      <c r="Q151" s="501">
        <v>2150</v>
      </c>
      <c r="R151" t="s">
        <v>7329</v>
      </c>
      <c r="S151">
        <v>0</v>
      </c>
    </row>
    <row r="152" spans="1:19">
      <c r="A152" t="s">
        <v>9201</v>
      </c>
      <c r="B152">
        <v>103</v>
      </c>
      <c r="C152" t="s">
        <v>7328</v>
      </c>
      <c r="D152" t="s">
        <v>9474</v>
      </c>
      <c r="E152" t="s">
        <v>9512</v>
      </c>
      <c r="F152" t="s">
        <v>9476</v>
      </c>
      <c r="G152" t="s">
        <v>9513</v>
      </c>
      <c r="H152">
        <v>-4.75</v>
      </c>
      <c r="L152" t="s">
        <v>7330</v>
      </c>
      <c r="M152" t="s">
        <v>7330</v>
      </c>
      <c r="N152" s="501">
        <v>2115</v>
      </c>
      <c r="O152">
        <v>15</v>
      </c>
      <c r="P152">
        <v>0</v>
      </c>
      <c r="Q152" s="501">
        <v>2130</v>
      </c>
      <c r="R152" t="s">
        <v>7329</v>
      </c>
      <c r="S152">
        <v>0</v>
      </c>
    </row>
    <row r="153" spans="1:19">
      <c r="A153" t="s">
        <v>9201</v>
      </c>
      <c r="B153">
        <v>103</v>
      </c>
      <c r="C153" t="s">
        <v>7328</v>
      </c>
      <c r="D153" t="s">
        <v>9474</v>
      </c>
      <c r="E153" t="s">
        <v>9514</v>
      </c>
      <c r="F153" t="s">
        <v>9476</v>
      </c>
      <c r="G153" t="s">
        <v>9515</v>
      </c>
      <c r="H153">
        <v>-5</v>
      </c>
      <c r="L153" t="s">
        <v>7330</v>
      </c>
      <c r="M153" t="s">
        <v>7330</v>
      </c>
      <c r="N153" s="501">
        <v>3020</v>
      </c>
      <c r="O153">
        <v>90</v>
      </c>
      <c r="P153">
        <v>0</v>
      </c>
      <c r="Q153" s="501">
        <v>3110</v>
      </c>
      <c r="R153" t="s">
        <v>7329</v>
      </c>
      <c r="S153">
        <v>0</v>
      </c>
    </row>
    <row r="154" spans="1:19">
      <c r="A154" t="s">
        <v>9201</v>
      </c>
      <c r="B154">
        <v>103</v>
      </c>
      <c r="C154" t="s">
        <v>7328</v>
      </c>
      <c r="D154" t="s">
        <v>9474</v>
      </c>
      <c r="E154" t="s">
        <v>9516</v>
      </c>
      <c r="F154" t="s">
        <v>9476</v>
      </c>
      <c r="G154" t="s">
        <v>9517</v>
      </c>
      <c r="H154">
        <v>-5.25</v>
      </c>
      <c r="L154" t="s">
        <v>7330</v>
      </c>
      <c r="M154" t="s">
        <v>7330</v>
      </c>
      <c r="N154" s="501">
        <v>795</v>
      </c>
      <c r="P154">
        <v>0</v>
      </c>
      <c r="Q154" s="501">
        <v>795</v>
      </c>
      <c r="R154" t="s">
        <v>7329</v>
      </c>
      <c r="S154">
        <v>0</v>
      </c>
    </row>
    <row r="155" spans="1:19">
      <c r="A155" t="s">
        <v>9201</v>
      </c>
      <c r="B155">
        <v>103</v>
      </c>
      <c r="C155" t="s">
        <v>7328</v>
      </c>
      <c r="D155" t="s">
        <v>9474</v>
      </c>
      <c r="E155" t="s">
        <v>9518</v>
      </c>
      <c r="F155" t="s">
        <v>9476</v>
      </c>
      <c r="G155" t="s">
        <v>9519</v>
      </c>
      <c r="H155">
        <v>-5.5</v>
      </c>
      <c r="L155" t="s">
        <v>7330</v>
      </c>
      <c r="M155" t="s">
        <v>7330</v>
      </c>
      <c r="N155" s="501">
        <v>2840</v>
      </c>
      <c r="O155">
        <v>35</v>
      </c>
      <c r="P155">
        <v>0</v>
      </c>
      <c r="Q155" s="501">
        <v>2875</v>
      </c>
      <c r="R155" t="s">
        <v>7329</v>
      </c>
      <c r="S155">
        <v>0</v>
      </c>
    </row>
    <row r="156" spans="1:19">
      <c r="A156" t="s">
        <v>9201</v>
      </c>
      <c r="B156">
        <v>103</v>
      </c>
      <c r="C156" t="s">
        <v>7328</v>
      </c>
      <c r="D156" t="s">
        <v>9474</v>
      </c>
      <c r="E156" t="s">
        <v>9520</v>
      </c>
      <c r="F156" t="s">
        <v>9476</v>
      </c>
      <c r="G156" t="s">
        <v>9521</v>
      </c>
      <c r="H156">
        <v>-5.75</v>
      </c>
      <c r="L156" t="s">
        <v>7330</v>
      </c>
      <c r="M156" t="s">
        <v>7330</v>
      </c>
      <c r="N156" s="501">
        <v>465</v>
      </c>
      <c r="O156" s="501"/>
      <c r="P156" s="501">
        <v>0</v>
      </c>
      <c r="Q156" s="501">
        <v>465</v>
      </c>
      <c r="R156" t="s">
        <v>7329</v>
      </c>
      <c r="S156">
        <v>0</v>
      </c>
    </row>
    <row r="157" spans="1:19">
      <c r="A157" t="s">
        <v>9201</v>
      </c>
      <c r="B157">
        <v>103</v>
      </c>
      <c r="C157" t="s">
        <v>7328</v>
      </c>
      <c r="D157" t="s">
        <v>9474</v>
      </c>
      <c r="E157" t="s">
        <v>9522</v>
      </c>
      <c r="F157" t="s">
        <v>9476</v>
      </c>
      <c r="G157" t="s">
        <v>9523</v>
      </c>
      <c r="H157">
        <v>-6</v>
      </c>
      <c r="L157" t="s">
        <v>7330</v>
      </c>
      <c r="M157" t="s">
        <v>7330</v>
      </c>
      <c r="N157" s="501">
        <v>1985</v>
      </c>
      <c r="O157" s="501">
        <v>45</v>
      </c>
      <c r="P157" s="501">
        <v>0</v>
      </c>
      <c r="Q157" s="501">
        <v>2030</v>
      </c>
      <c r="R157" t="s">
        <v>7329</v>
      </c>
      <c r="S157">
        <v>0</v>
      </c>
    </row>
    <row r="158" spans="1:19">
      <c r="A158" t="s">
        <v>9201</v>
      </c>
      <c r="B158">
        <v>103</v>
      </c>
      <c r="C158" t="s">
        <v>7328</v>
      </c>
      <c r="D158" t="s">
        <v>9474</v>
      </c>
      <c r="E158" t="s">
        <v>9524</v>
      </c>
      <c r="F158" t="s">
        <v>9476</v>
      </c>
      <c r="G158" t="s">
        <v>9525</v>
      </c>
      <c r="H158">
        <v>-6.5</v>
      </c>
      <c r="L158" t="s">
        <v>7330</v>
      </c>
      <c r="M158" t="s">
        <v>7330</v>
      </c>
      <c r="N158" s="501">
        <v>2045</v>
      </c>
      <c r="O158" s="501">
        <v>10</v>
      </c>
      <c r="P158" s="501">
        <v>0</v>
      </c>
      <c r="Q158" s="501">
        <v>2055</v>
      </c>
      <c r="R158" t="s">
        <v>7329</v>
      </c>
      <c r="S158">
        <v>0</v>
      </c>
    </row>
    <row r="159" spans="1:19">
      <c r="A159" t="s">
        <v>9201</v>
      </c>
      <c r="B159">
        <v>103</v>
      </c>
      <c r="C159" t="s">
        <v>7328</v>
      </c>
      <c r="D159" t="s">
        <v>9474</v>
      </c>
      <c r="E159" t="s">
        <v>9526</v>
      </c>
      <c r="F159" t="s">
        <v>9476</v>
      </c>
      <c r="G159" t="s">
        <v>9527</v>
      </c>
      <c r="H159">
        <v>-7</v>
      </c>
      <c r="L159" t="s">
        <v>7330</v>
      </c>
      <c r="M159" t="s">
        <v>7330</v>
      </c>
      <c r="N159" s="501">
        <v>1755</v>
      </c>
      <c r="O159" s="501"/>
      <c r="P159" s="501">
        <v>0</v>
      </c>
      <c r="Q159" s="501">
        <v>1755</v>
      </c>
      <c r="R159" t="s">
        <v>7329</v>
      </c>
      <c r="S159">
        <v>0</v>
      </c>
    </row>
    <row r="160" spans="1:19">
      <c r="A160" t="s">
        <v>9201</v>
      </c>
      <c r="B160">
        <v>103</v>
      </c>
      <c r="C160" t="s">
        <v>7328</v>
      </c>
      <c r="D160" t="s">
        <v>9474</v>
      </c>
      <c r="E160" t="s">
        <v>9528</v>
      </c>
      <c r="F160" t="s">
        <v>9476</v>
      </c>
      <c r="G160" t="s">
        <v>9529</v>
      </c>
      <c r="H160">
        <v>-7.5</v>
      </c>
      <c r="L160" t="s">
        <v>7330</v>
      </c>
      <c r="M160" t="s">
        <v>7330</v>
      </c>
      <c r="N160" s="501">
        <v>945</v>
      </c>
      <c r="O160" s="501"/>
      <c r="P160" s="501">
        <v>0</v>
      </c>
      <c r="Q160" s="501">
        <v>945</v>
      </c>
      <c r="R160" t="s">
        <v>7329</v>
      </c>
      <c r="S160">
        <v>0</v>
      </c>
    </row>
    <row r="161" spans="1:19">
      <c r="A161" t="s">
        <v>9201</v>
      </c>
      <c r="B161">
        <v>103</v>
      </c>
      <c r="C161" t="s">
        <v>7328</v>
      </c>
      <c r="D161" t="s">
        <v>9474</v>
      </c>
      <c r="E161" t="s">
        <v>9530</v>
      </c>
      <c r="F161" t="s">
        <v>9476</v>
      </c>
      <c r="G161" t="s">
        <v>9531</v>
      </c>
      <c r="H161">
        <v>-8</v>
      </c>
      <c r="L161" t="s">
        <v>7330</v>
      </c>
      <c r="M161" t="s">
        <v>7330</v>
      </c>
      <c r="N161" s="501">
        <v>1000</v>
      </c>
      <c r="P161">
        <v>0</v>
      </c>
      <c r="Q161" s="501">
        <v>1000</v>
      </c>
      <c r="R161" t="s">
        <v>7329</v>
      </c>
      <c r="S161">
        <v>0</v>
      </c>
    </row>
    <row r="162" spans="1:19">
      <c r="A162" t="s">
        <v>9201</v>
      </c>
      <c r="B162">
        <v>103</v>
      </c>
      <c r="C162" t="s">
        <v>7328</v>
      </c>
      <c r="D162" t="s">
        <v>9474</v>
      </c>
      <c r="E162" t="s">
        <v>9532</v>
      </c>
      <c r="F162" t="s">
        <v>9476</v>
      </c>
      <c r="G162" t="s">
        <v>9533</v>
      </c>
      <c r="H162">
        <v>-8.5</v>
      </c>
      <c r="L162" t="s">
        <v>7330</v>
      </c>
      <c r="M162" t="s">
        <v>7330</v>
      </c>
      <c r="N162" s="501">
        <v>840</v>
      </c>
      <c r="P162">
        <v>0</v>
      </c>
      <c r="Q162" s="501">
        <v>840</v>
      </c>
      <c r="R162" t="s">
        <v>7329</v>
      </c>
      <c r="S162">
        <v>0</v>
      </c>
    </row>
    <row r="163" spans="1:19">
      <c r="A163" t="s">
        <v>9201</v>
      </c>
      <c r="B163">
        <v>103</v>
      </c>
      <c r="C163" t="s">
        <v>7328</v>
      </c>
      <c r="D163" t="s">
        <v>9474</v>
      </c>
      <c r="E163" t="s">
        <v>9534</v>
      </c>
      <c r="F163" t="s">
        <v>9476</v>
      </c>
      <c r="G163" t="s">
        <v>9535</v>
      </c>
      <c r="H163">
        <v>-9</v>
      </c>
      <c r="L163" t="s">
        <v>7330</v>
      </c>
      <c r="M163" t="s">
        <v>7330</v>
      </c>
      <c r="N163" s="501">
        <v>960</v>
      </c>
      <c r="O163" s="501"/>
      <c r="P163" s="501">
        <v>0</v>
      </c>
      <c r="Q163" s="501">
        <v>960</v>
      </c>
      <c r="R163" t="s">
        <v>7329</v>
      </c>
      <c r="S163">
        <v>0</v>
      </c>
    </row>
    <row r="164" spans="1:19">
      <c r="A164" t="s">
        <v>9201</v>
      </c>
      <c r="B164">
        <v>103</v>
      </c>
      <c r="C164" t="s">
        <v>7328</v>
      </c>
      <c r="D164" t="s">
        <v>9474</v>
      </c>
      <c r="E164" t="s">
        <v>9536</v>
      </c>
      <c r="F164" t="s">
        <v>9476</v>
      </c>
      <c r="G164" t="s">
        <v>9537</v>
      </c>
      <c r="H164">
        <v>-10</v>
      </c>
      <c r="L164" t="s">
        <v>7330</v>
      </c>
      <c r="M164" t="s">
        <v>7330</v>
      </c>
      <c r="N164" s="501">
        <v>120</v>
      </c>
      <c r="O164" s="501"/>
      <c r="P164" s="501">
        <v>0</v>
      </c>
      <c r="Q164" s="501">
        <v>120</v>
      </c>
      <c r="R164" t="s">
        <v>7329</v>
      </c>
      <c r="S164">
        <v>0</v>
      </c>
    </row>
    <row r="165" spans="1:19">
      <c r="A165" t="s">
        <v>9201</v>
      </c>
      <c r="B165">
        <v>103</v>
      </c>
      <c r="C165" t="s">
        <v>7328</v>
      </c>
      <c r="D165" t="s">
        <v>12033</v>
      </c>
      <c r="E165" t="s">
        <v>12034</v>
      </c>
      <c r="F165" t="s">
        <v>12035</v>
      </c>
      <c r="G165" t="s">
        <v>12036</v>
      </c>
      <c r="H165">
        <v>0</v>
      </c>
      <c r="L165" t="s">
        <v>7330</v>
      </c>
      <c r="M165" t="s">
        <v>7330</v>
      </c>
      <c r="N165" s="501"/>
      <c r="O165">
        <v>5</v>
      </c>
      <c r="P165">
        <v>0</v>
      </c>
      <c r="Q165" s="501">
        <v>5</v>
      </c>
      <c r="R165" t="s">
        <v>7329</v>
      </c>
      <c r="S165">
        <v>0</v>
      </c>
    </row>
    <row r="166" spans="1:19">
      <c r="A166" t="s">
        <v>9201</v>
      </c>
      <c r="B166">
        <v>103</v>
      </c>
      <c r="C166" t="s">
        <v>7328</v>
      </c>
      <c r="D166" t="s">
        <v>9538</v>
      </c>
      <c r="E166" t="s">
        <v>9539</v>
      </c>
      <c r="F166" t="s">
        <v>9540</v>
      </c>
      <c r="G166" t="s">
        <v>9541</v>
      </c>
      <c r="H166">
        <v>-8</v>
      </c>
      <c r="L166" t="s">
        <v>7330</v>
      </c>
      <c r="M166" t="s">
        <v>7330</v>
      </c>
      <c r="N166" s="501">
        <v>5</v>
      </c>
      <c r="P166">
        <v>0</v>
      </c>
      <c r="Q166" s="501">
        <v>5</v>
      </c>
      <c r="R166" t="s">
        <v>7329</v>
      </c>
      <c r="S166">
        <v>0</v>
      </c>
    </row>
    <row r="167" spans="1:19">
      <c r="A167" t="s">
        <v>9201</v>
      </c>
      <c r="B167">
        <v>103</v>
      </c>
      <c r="C167" t="s">
        <v>7328</v>
      </c>
      <c r="D167" t="s">
        <v>9542</v>
      </c>
      <c r="E167" t="s">
        <v>9543</v>
      </c>
      <c r="F167" t="s">
        <v>4676</v>
      </c>
      <c r="G167" t="s">
        <v>9544</v>
      </c>
      <c r="H167">
        <v>0</v>
      </c>
      <c r="L167" t="s">
        <v>7330</v>
      </c>
      <c r="M167" t="s">
        <v>7330</v>
      </c>
      <c r="N167" s="501">
        <v>15</v>
      </c>
      <c r="O167" s="501"/>
      <c r="P167" s="501">
        <v>0</v>
      </c>
      <c r="Q167" s="501">
        <v>15</v>
      </c>
      <c r="R167" t="s">
        <v>7329</v>
      </c>
      <c r="S167">
        <v>0</v>
      </c>
    </row>
    <row r="168" spans="1:19">
      <c r="A168" t="s">
        <v>9201</v>
      </c>
      <c r="B168">
        <v>103</v>
      </c>
      <c r="C168" t="s">
        <v>7328</v>
      </c>
      <c r="D168" t="s">
        <v>9542</v>
      </c>
      <c r="E168" t="s">
        <v>9545</v>
      </c>
      <c r="F168" t="s">
        <v>4676</v>
      </c>
      <c r="G168" t="s">
        <v>9546</v>
      </c>
      <c r="H168">
        <v>-0.75</v>
      </c>
      <c r="L168" t="s">
        <v>7330</v>
      </c>
      <c r="M168" t="s">
        <v>7330</v>
      </c>
      <c r="N168" s="501">
        <v>10</v>
      </c>
      <c r="O168" s="501"/>
      <c r="P168" s="501">
        <v>0</v>
      </c>
      <c r="Q168" s="501">
        <v>10</v>
      </c>
      <c r="R168" t="s">
        <v>7329</v>
      </c>
      <c r="S168">
        <v>0</v>
      </c>
    </row>
    <row r="169" spans="1:19">
      <c r="A169" t="s">
        <v>9201</v>
      </c>
      <c r="B169">
        <v>103</v>
      </c>
      <c r="C169" t="s">
        <v>7328</v>
      </c>
      <c r="D169" t="s">
        <v>9542</v>
      </c>
      <c r="E169" t="s">
        <v>9547</v>
      </c>
      <c r="F169" t="s">
        <v>4676</v>
      </c>
      <c r="G169" t="s">
        <v>9548</v>
      </c>
      <c r="H169">
        <v>-1.25</v>
      </c>
      <c r="L169" t="s">
        <v>7330</v>
      </c>
      <c r="M169" t="s">
        <v>7330</v>
      </c>
      <c r="N169" s="501">
        <v>5</v>
      </c>
      <c r="O169" s="501"/>
      <c r="P169" s="501">
        <v>0</v>
      </c>
      <c r="Q169" s="501">
        <v>5</v>
      </c>
      <c r="R169" t="s">
        <v>7329</v>
      </c>
      <c r="S169">
        <v>0</v>
      </c>
    </row>
    <row r="170" spans="1:19">
      <c r="A170" t="s">
        <v>9201</v>
      </c>
      <c r="B170">
        <v>103</v>
      </c>
      <c r="C170" t="s">
        <v>7328</v>
      </c>
      <c r="D170" t="s">
        <v>9542</v>
      </c>
      <c r="E170" t="s">
        <v>9549</v>
      </c>
      <c r="F170" t="s">
        <v>4676</v>
      </c>
      <c r="G170" t="s">
        <v>9550</v>
      </c>
      <c r="H170">
        <v>-1.5</v>
      </c>
      <c r="L170" t="s">
        <v>7330</v>
      </c>
      <c r="M170" t="s">
        <v>7330</v>
      </c>
      <c r="N170" s="501">
        <v>10</v>
      </c>
      <c r="O170" s="501"/>
      <c r="P170" s="501">
        <v>0</v>
      </c>
      <c r="Q170" s="501">
        <v>10</v>
      </c>
      <c r="R170" t="s">
        <v>7329</v>
      </c>
      <c r="S170">
        <v>0</v>
      </c>
    </row>
    <row r="171" spans="1:19">
      <c r="A171" t="s">
        <v>9201</v>
      </c>
      <c r="B171">
        <v>103</v>
      </c>
      <c r="C171" t="s">
        <v>7328</v>
      </c>
      <c r="D171" t="s">
        <v>9542</v>
      </c>
      <c r="E171" t="s">
        <v>9551</v>
      </c>
      <c r="F171" t="s">
        <v>4676</v>
      </c>
      <c r="G171" t="s">
        <v>9552</v>
      </c>
      <c r="H171">
        <v>-2</v>
      </c>
      <c r="L171" t="s">
        <v>7330</v>
      </c>
      <c r="M171" t="s">
        <v>7330</v>
      </c>
      <c r="N171" s="501">
        <v>10</v>
      </c>
      <c r="O171" s="501"/>
      <c r="P171" s="501">
        <v>0</v>
      </c>
      <c r="Q171" s="501">
        <v>10</v>
      </c>
      <c r="R171" t="s">
        <v>7329</v>
      </c>
      <c r="S171">
        <v>0</v>
      </c>
    </row>
    <row r="172" spans="1:19">
      <c r="A172" t="s">
        <v>9201</v>
      </c>
      <c r="B172">
        <v>103</v>
      </c>
      <c r="C172" t="s">
        <v>7328</v>
      </c>
      <c r="D172" t="s">
        <v>9542</v>
      </c>
      <c r="E172" t="s">
        <v>9553</v>
      </c>
      <c r="F172" t="s">
        <v>4676</v>
      </c>
      <c r="G172" t="s">
        <v>9554</v>
      </c>
      <c r="H172">
        <v>-2.25</v>
      </c>
      <c r="L172" t="s">
        <v>7330</v>
      </c>
      <c r="M172" t="s">
        <v>7330</v>
      </c>
      <c r="N172" s="501">
        <v>10</v>
      </c>
      <c r="O172" s="501"/>
      <c r="P172" s="501">
        <v>0</v>
      </c>
      <c r="Q172" s="501">
        <v>10</v>
      </c>
      <c r="R172" t="s">
        <v>7329</v>
      </c>
      <c r="S172">
        <v>0</v>
      </c>
    </row>
    <row r="173" spans="1:19">
      <c r="A173" t="s">
        <v>9201</v>
      </c>
      <c r="B173">
        <v>103</v>
      </c>
      <c r="C173" t="s">
        <v>7328</v>
      </c>
      <c r="D173" t="s">
        <v>9542</v>
      </c>
      <c r="E173" t="s">
        <v>9555</v>
      </c>
      <c r="F173" t="s">
        <v>4676</v>
      </c>
      <c r="G173" t="s">
        <v>9556</v>
      </c>
      <c r="H173">
        <v>-3</v>
      </c>
      <c r="L173" t="s">
        <v>7330</v>
      </c>
      <c r="M173" t="s">
        <v>7330</v>
      </c>
      <c r="N173" s="501">
        <v>5</v>
      </c>
      <c r="O173" s="501"/>
      <c r="P173" s="501">
        <v>0</v>
      </c>
      <c r="Q173" s="501">
        <v>5</v>
      </c>
      <c r="R173" t="s">
        <v>7329</v>
      </c>
      <c r="S173">
        <v>0</v>
      </c>
    </row>
    <row r="174" spans="1:19">
      <c r="A174" t="s">
        <v>9201</v>
      </c>
      <c r="B174">
        <v>103</v>
      </c>
      <c r="C174" t="s">
        <v>7328</v>
      </c>
      <c r="D174" t="s">
        <v>9542</v>
      </c>
      <c r="E174" t="s">
        <v>9557</v>
      </c>
      <c r="F174" t="s">
        <v>4676</v>
      </c>
      <c r="G174" t="s">
        <v>9558</v>
      </c>
      <c r="H174">
        <v>-4</v>
      </c>
      <c r="L174" t="s">
        <v>7330</v>
      </c>
      <c r="M174" t="s">
        <v>7330</v>
      </c>
      <c r="N174" s="501">
        <v>5</v>
      </c>
      <c r="O174" s="501"/>
      <c r="P174" s="501">
        <v>0</v>
      </c>
      <c r="Q174" s="501">
        <v>5</v>
      </c>
      <c r="R174" t="s">
        <v>7329</v>
      </c>
      <c r="S174">
        <v>0</v>
      </c>
    </row>
    <row r="175" spans="1:19">
      <c r="A175" t="s">
        <v>9201</v>
      </c>
      <c r="B175">
        <v>103</v>
      </c>
      <c r="C175" t="s">
        <v>7328</v>
      </c>
      <c r="D175" t="s">
        <v>9542</v>
      </c>
      <c r="E175" t="s">
        <v>9559</v>
      </c>
      <c r="F175" t="s">
        <v>4676</v>
      </c>
      <c r="G175" t="s">
        <v>9560</v>
      </c>
      <c r="H175">
        <v>-4.25</v>
      </c>
      <c r="L175" t="s">
        <v>7330</v>
      </c>
      <c r="M175" t="s">
        <v>7330</v>
      </c>
      <c r="N175" s="501">
        <v>5</v>
      </c>
      <c r="P175">
        <v>0</v>
      </c>
      <c r="Q175" s="501">
        <v>5</v>
      </c>
      <c r="R175" t="s">
        <v>7329</v>
      </c>
      <c r="S175">
        <v>0</v>
      </c>
    </row>
    <row r="176" spans="1:19">
      <c r="A176" t="s">
        <v>9201</v>
      </c>
      <c r="B176">
        <v>103</v>
      </c>
      <c r="C176" t="s">
        <v>7328</v>
      </c>
      <c r="D176" t="s">
        <v>9542</v>
      </c>
      <c r="E176" t="s">
        <v>9561</v>
      </c>
      <c r="F176" t="s">
        <v>4676</v>
      </c>
      <c r="G176" t="s">
        <v>9562</v>
      </c>
      <c r="H176">
        <v>-4.75</v>
      </c>
      <c r="L176" t="s">
        <v>7330</v>
      </c>
      <c r="M176" t="s">
        <v>7330</v>
      </c>
      <c r="N176" s="501">
        <v>5</v>
      </c>
      <c r="P176">
        <v>0</v>
      </c>
      <c r="Q176" s="501">
        <v>5</v>
      </c>
      <c r="R176" t="s">
        <v>7329</v>
      </c>
      <c r="S176">
        <v>0</v>
      </c>
    </row>
    <row r="177" spans="1:19">
      <c r="A177" t="s">
        <v>9201</v>
      </c>
      <c r="B177">
        <v>103</v>
      </c>
      <c r="C177" t="s">
        <v>7328</v>
      </c>
      <c r="D177" t="s">
        <v>9542</v>
      </c>
      <c r="E177" t="s">
        <v>9563</v>
      </c>
      <c r="F177" t="s">
        <v>4676</v>
      </c>
      <c r="G177" t="s">
        <v>9564</v>
      </c>
      <c r="H177">
        <v>-6</v>
      </c>
      <c r="L177" t="s">
        <v>7330</v>
      </c>
      <c r="M177" t="s">
        <v>7330</v>
      </c>
      <c r="N177" s="501">
        <v>5</v>
      </c>
      <c r="P177">
        <v>0</v>
      </c>
      <c r="Q177" s="501">
        <v>5</v>
      </c>
      <c r="R177" t="s">
        <v>7329</v>
      </c>
      <c r="S177">
        <v>0</v>
      </c>
    </row>
    <row r="178" spans="1:19">
      <c r="A178" t="s">
        <v>9201</v>
      </c>
      <c r="B178">
        <v>103</v>
      </c>
      <c r="C178" t="s">
        <v>7328</v>
      </c>
      <c r="D178" t="s">
        <v>9565</v>
      </c>
      <c r="E178" t="s">
        <v>9566</v>
      </c>
      <c r="F178" t="s">
        <v>9567</v>
      </c>
      <c r="G178" t="s">
        <v>9568</v>
      </c>
      <c r="H178">
        <v>0</v>
      </c>
      <c r="L178" t="s">
        <v>7330</v>
      </c>
      <c r="M178" t="s">
        <v>7330</v>
      </c>
      <c r="N178" s="501">
        <v>582</v>
      </c>
      <c r="O178">
        <v>28</v>
      </c>
      <c r="P178">
        <v>0</v>
      </c>
      <c r="Q178" s="501">
        <v>610</v>
      </c>
      <c r="R178" t="s">
        <v>7331</v>
      </c>
      <c r="S178">
        <v>0</v>
      </c>
    </row>
    <row r="179" spans="1:19">
      <c r="A179" t="s">
        <v>9201</v>
      </c>
      <c r="B179">
        <v>103</v>
      </c>
      <c r="C179" t="s">
        <v>7328</v>
      </c>
      <c r="D179" t="s">
        <v>9565</v>
      </c>
      <c r="E179" t="s">
        <v>9569</v>
      </c>
      <c r="F179" t="s">
        <v>9567</v>
      </c>
      <c r="G179" t="s">
        <v>9570</v>
      </c>
      <c r="H179">
        <v>-1</v>
      </c>
      <c r="L179" t="s">
        <v>7330</v>
      </c>
      <c r="M179" t="s">
        <v>7330</v>
      </c>
      <c r="N179" s="501">
        <v>76</v>
      </c>
      <c r="O179">
        <v>16</v>
      </c>
      <c r="P179">
        <v>0</v>
      </c>
      <c r="Q179" s="501">
        <v>92</v>
      </c>
      <c r="R179" t="s">
        <v>7331</v>
      </c>
      <c r="S179">
        <v>0</v>
      </c>
    </row>
    <row r="180" spans="1:19">
      <c r="A180" t="s">
        <v>9201</v>
      </c>
      <c r="B180">
        <v>103</v>
      </c>
      <c r="C180" t="s">
        <v>7328</v>
      </c>
      <c r="D180" t="s">
        <v>9565</v>
      </c>
      <c r="E180" t="s">
        <v>9571</v>
      </c>
      <c r="F180" t="s">
        <v>9567</v>
      </c>
      <c r="G180" t="s">
        <v>9572</v>
      </c>
      <c r="H180">
        <v>-1.25</v>
      </c>
      <c r="L180" t="s">
        <v>7330</v>
      </c>
      <c r="M180" t="s">
        <v>7330</v>
      </c>
      <c r="N180" s="501">
        <v>9</v>
      </c>
      <c r="O180">
        <v>8</v>
      </c>
      <c r="P180">
        <v>0</v>
      </c>
      <c r="Q180" s="501">
        <v>17</v>
      </c>
      <c r="R180" t="s">
        <v>7331</v>
      </c>
      <c r="S180">
        <v>0</v>
      </c>
    </row>
    <row r="181" spans="1:19">
      <c r="A181" t="s">
        <v>9201</v>
      </c>
      <c r="B181">
        <v>103</v>
      </c>
      <c r="C181" t="s">
        <v>7328</v>
      </c>
      <c r="D181" t="s">
        <v>9565</v>
      </c>
      <c r="E181" t="s">
        <v>9571</v>
      </c>
      <c r="F181" t="s">
        <v>9567</v>
      </c>
      <c r="G181" t="s">
        <v>9572</v>
      </c>
      <c r="H181">
        <v>-1.25</v>
      </c>
      <c r="K181" t="s">
        <v>9573</v>
      </c>
      <c r="L181" t="s">
        <v>9574</v>
      </c>
      <c r="M181" t="s">
        <v>9575</v>
      </c>
      <c r="N181" s="501"/>
      <c r="O181">
        <v>200</v>
      </c>
      <c r="P181">
        <v>200</v>
      </c>
      <c r="Q181" s="501"/>
      <c r="R181" t="s">
        <v>7331</v>
      </c>
      <c r="S181">
        <v>0</v>
      </c>
    </row>
    <row r="182" spans="1:19">
      <c r="A182" t="s">
        <v>9201</v>
      </c>
      <c r="B182">
        <v>103</v>
      </c>
      <c r="C182" t="s">
        <v>7328</v>
      </c>
      <c r="D182" t="s">
        <v>9565</v>
      </c>
      <c r="E182" t="s">
        <v>9576</v>
      </c>
      <c r="F182" t="s">
        <v>9567</v>
      </c>
      <c r="G182" t="s">
        <v>9577</v>
      </c>
      <c r="H182">
        <v>-1.5</v>
      </c>
      <c r="L182" t="s">
        <v>7330</v>
      </c>
      <c r="M182" t="s">
        <v>7330</v>
      </c>
      <c r="N182" s="501">
        <v>60</v>
      </c>
      <c r="P182">
        <v>0</v>
      </c>
      <c r="Q182" s="501">
        <v>60</v>
      </c>
      <c r="R182" t="s">
        <v>7331</v>
      </c>
      <c r="S182">
        <v>0</v>
      </c>
    </row>
    <row r="183" spans="1:19">
      <c r="A183" t="s">
        <v>9201</v>
      </c>
      <c r="B183">
        <v>103</v>
      </c>
      <c r="C183" t="s">
        <v>7328</v>
      </c>
      <c r="D183" t="s">
        <v>9565</v>
      </c>
      <c r="E183" t="s">
        <v>9578</v>
      </c>
      <c r="F183" t="s">
        <v>9567</v>
      </c>
      <c r="G183" t="s">
        <v>9579</v>
      </c>
      <c r="H183">
        <v>-1.75</v>
      </c>
      <c r="L183" t="s">
        <v>7330</v>
      </c>
      <c r="M183" t="s">
        <v>7330</v>
      </c>
      <c r="N183" s="501">
        <v>26</v>
      </c>
      <c r="O183">
        <v>8</v>
      </c>
      <c r="P183" s="501">
        <v>0</v>
      </c>
      <c r="Q183" s="501">
        <v>34</v>
      </c>
      <c r="R183" t="s">
        <v>7331</v>
      </c>
      <c r="S183">
        <v>0</v>
      </c>
    </row>
    <row r="184" spans="1:19">
      <c r="A184" t="s">
        <v>9201</v>
      </c>
      <c r="B184">
        <v>103</v>
      </c>
      <c r="C184" t="s">
        <v>7328</v>
      </c>
      <c r="D184" t="s">
        <v>9565</v>
      </c>
      <c r="E184" t="s">
        <v>9578</v>
      </c>
      <c r="F184" t="s">
        <v>9567</v>
      </c>
      <c r="G184" t="s">
        <v>9579</v>
      </c>
      <c r="H184">
        <v>-1.75</v>
      </c>
      <c r="K184" t="s">
        <v>9343</v>
      </c>
      <c r="L184" t="s">
        <v>9580</v>
      </c>
      <c r="M184" t="s">
        <v>9581</v>
      </c>
      <c r="N184" s="501"/>
      <c r="O184">
        <v>200</v>
      </c>
      <c r="P184">
        <v>200</v>
      </c>
      <c r="Q184" s="501"/>
      <c r="R184" t="s">
        <v>7331</v>
      </c>
      <c r="S184">
        <v>0</v>
      </c>
    </row>
    <row r="185" spans="1:19">
      <c r="A185" t="s">
        <v>9201</v>
      </c>
      <c r="B185">
        <v>103</v>
      </c>
      <c r="C185" t="s">
        <v>7328</v>
      </c>
      <c r="D185" t="s">
        <v>9565</v>
      </c>
      <c r="E185" t="s">
        <v>9582</v>
      </c>
      <c r="F185" t="s">
        <v>9567</v>
      </c>
      <c r="G185" t="s">
        <v>9583</v>
      </c>
      <c r="H185">
        <v>-2</v>
      </c>
      <c r="L185" t="s">
        <v>7330</v>
      </c>
      <c r="M185" t="s">
        <v>7330</v>
      </c>
      <c r="N185" s="501">
        <v>1362</v>
      </c>
      <c r="P185">
        <v>0</v>
      </c>
      <c r="Q185" s="501">
        <v>1362</v>
      </c>
      <c r="R185" t="s">
        <v>7331</v>
      </c>
      <c r="S185">
        <v>0</v>
      </c>
    </row>
    <row r="186" spans="1:19">
      <c r="A186" t="s">
        <v>9201</v>
      </c>
      <c r="B186">
        <v>103</v>
      </c>
      <c r="C186" t="s">
        <v>7328</v>
      </c>
      <c r="D186" t="s">
        <v>9565</v>
      </c>
      <c r="E186" t="s">
        <v>9584</v>
      </c>
      <c r="F186" t="s">
        <v>9567</v>
      </c>
      <c r="G186" t="s">
        <v>9585</v>
      </c>
      <c r="H186">
        <v>-2.25</v>
      </c>
      <c r="L186" t="s">
        <v>7330</v>
      </c>
      <c r="M186" t="s">
        <v>7330</v>
      </c>
      <c r="N186" s="501">
        <v>59</v>
      </c>
      <c r="P186" s="501">
        <v>0</v>
      </c>
      <c r="Q186" s="501">
        <v>59</v>
      </c>
      <c r="R186" t="s">
        <v>7331</v>
      </c>
      <c r="S186">
        <v>0</v>
      </c>
    </row>
    <row r="187" spans="1:19">
      <c r="A187" t="s">
        <v>9201</v>
      </c>
      <c r="B187">
        <v>103</v>
      </c>
      <c r="C187" t="s">
        <v>7328</v>
      </c>
      <c r="D187" t="s">
        <v>9565</v>
      </c>
      <c r="E187" t="s">
        <v>9586</v>
      </c>
      <c r="F187" t="s">
        <v>9567</v>
      </c>
      <c r="G187" t="s">
        <v>9587</v>
      </c>
      <c r="H187">
        <v>-2.5</v>
      </c>
      <c r="L187" t="s">
        <v>7330</v>
      </c>
      <c r="M187" t="s">
        <v>7330</v>
      </c>
      <c r="N187" s="501">
        <v>92</v>
      </c>
      <c r="P187">
        <v>0</v>
      </c>
      <c r="Q187" s="501">
        <v>92</v>
      </c>
      <c r="R187" t="s">
        <v>7331</v>
      </c>
      <c r="S187">
        <v>0</v>
      </c>
    </row>
    <row r="188" spans="1:19">
      <c r="A188" t="s">
        <v>9201</v>
      </c>
      <c r="B188">
        <v>103</v>
      </c>
      <c r="C188" t="s">
        <v>7328</v>
      </c>
      <c r="D188" t="s">
        <v>9565</v>
      </c>
      <c r="E188" t="s">
        <v>9588</v>
      </c>
      <c r="F188" t="s">
        <v>9567</v>
      </c>
      <c r="G188" t="s">
        <v>9589</v>
      </c>
      <c r="H188">
        <v>-2.75</v>
      </c>
      <c r="L188" t="s">
        <v>7330</v>
      </c>
      <c r="M188" t="s">
        <v>7330</v>
      </c>
      <c r="N188" s="501">
        <v>103</v>
      </c>
      <c r="O188">
        <v>8</v>
      </c>
      <c r="P188">
        <v>0</v>
      </c>
      <c r="Q188" s="501">
        <v>111</v>
      </c>
      <c r="R188" t="s">
        <v>7331</v>
      </c>
      <c r="S188">
        <v>0</v>
      </c>
    </row>
    <row r="189" spans="1:19">
      <c r="A189" t="s">
        <v>9201</v>
      </c>
      <c r="B189">
        <v>103</v>
      </c>
      <c r="C189" t="s">
        <v>7328</v>
      </c>
      <c r="D189" t="s">
        <v>9565</v>
      </c>
      <c r="E189" t="s">
        <v>9590</v>
      </c>
      <c r="F189" t="s">
        <v>9567</v>
      </c>
      <c r="G189" t="s">
        <v>9591</v>
      </c>
      <c r="H189">
        <v>-3</v>
      </c>
      <c r="L189" t="s">
        <v>7330</v>
      </c>
      <c r="M189" t="s">
        <v>7330</v>
      </c>
      <c r="N189" s="501">
        <v>315</v>
      </c>
      <c r="O189" s="501">
        <v>24</v>
      </c>
      <c r="P189" s="501">
        <v>0</v>
      </c>
      <c r="Q189" s="501">
        <v>339</v>
      </c>
      <c r="R189" t="s">
        <v>7331</v>
      </c>
      <c r="S189">
        <v>0</v>
      </c>
    </row>
    <row r="190" spans="1:19">
      <c r="A190" t="s">
        <v>9201</v>
      </c>
      <c r="B190">
        <v>103</v>
      </c>
      <c r="C190" t="s">
        <v>7328</v>
      </c>
      <c r="D190" t="s">
        <v>9565</v>
      </c>
      <c r="E190" t="s">
        <v>9590</v>
      </c>
      <c r="F190" t="s">
        <v>9567</v>
      </c>
      <c r="G190" t="s">
        <v>9591</v>
      </c>
      <c r="H190">
        <v>-3</v>
      </c>
      <c r="K190" t="s">
        <v>10179</v>
      </c>
      <c r="L190" t="s">
        <v>12099</v>
      </c>
      <c r="M190" t="s">
        <v>12100</v>
      </c>
      <c r="N190" s="501"/>
      <c r="O190">
        <v>10</v>
      </c>
      <c r="P190">
        <v>10</v>
      </c>
      <c r="Q190" s="501"/>
      <c r="R190" t="s">
        <v>7331</v>
      </c>
      <c r="S190">
        <v>0</v>
      </c>
    </row>
    <row r="191" spans="1:19">
      <c r="A191" t="s">
        <v>9201</v>
      </c>
      <c r="B191">
        <v>103</v>
      </c>
      <c r="C191" t="s">
        <v>7328</v>
      </c>
      <c r="D191" t="s">
        <v>9565</v>
      </c>
      <c r="E191" t="s">
        <v>9590</v>
      </c>
      <c r="F191" t="s">
        <v>9567</v>
      </c>
      <c r="G191" t="s">
        <v>9591</v>
      </c>
      <c r="H191">
        <v>-3</v>
      </c>
      <c r="K191" t="s">
        <v>11881</v>
      </c>
      <c r="L191" t="s">
        <v>12101</v>
      </c>
      <c r="M191" t="s">
        <v>12102</v>
      </c>
      <c r="N191" s="501"/>
      <c r="O191" s="501">
        <v>10</v>
      </c>
      <c r="P191" s="501">
        <v>10</v>
      </c>
      <c r="Q191" s="501"/>
      <c r="R191" t="s">
        <v>7331</v>
      </c>
      <c r="S191">
        <v>0</v>
      </c>
    </row>
    <row r="192" spans="1:19">
      <c r="A192" t="s">
        <v>9201</v>
      </c>
      <c r="B192">
        <v>103</v>
      </c>
      <c r="C192" t="s">
        <v>7328</v>
      </c>
      <c r="D192" t="s">
        <v>9565</v>
      </c>
      <c r="E192" t="s">
        <v>9590</v>
      </c>
      <c r="F192" t="s">
        <v>9567</v>
      </c>
      <c r="G192" t="s">
        <v>9591</v>
      </c>
      <c r="H192">
        <v>-3</v>
      </c>
      <c r="K192" t="s">
        <v>11881</v>
      </c>
      <c r="L192" t="s">
        <v>12103</v>
      </c>
      <c r="M192" t="s">
        <v>12104</v>
      </c>
      <c r="N192" s="501"/>
      <c r="O192" s="501">
        <v>10</v>
      </c>
      <c r="P192" s="501">
        <v>10</v>
      </c>
      <c r="Q192" s="501"/>
      <c r="R192" t="s">
        <v>7331</v>
      </c>
      <c r="S192">
        <v>0</v>
      </c>
    </row>
    <row r="193" spans="1:19">
      <c r="A193" t="s">
        <v>9201</v>
      </c>
      <c r="B193">
        <v>103</v>
      </c>
      <c r="C193" t="s">
        <v>7328</v>
      </c>
      <c r="D193" t="s">
        <v>9565</v>
      </c>
      <c r="E193" t="s">
        <v>9592</v>
      </c>
      <c r="F193" t="s">
        <v>9567</v>
      </c>
      <c r="G193" t="s">
        <v>9593</v>
      </c>
      <c r="H193">
        <v>-3.25</v>
      </c>
      <c r="L193" t="s">
        <v>7330</v>
      </c>
      <c r="M193" t="s">
        <v>7330</v>
      </c>
      <c r="N193" s="501">
        <v>437</v>
      </c>
      <c r="O193">
        <v>4</v>
      </c>
      <c r="P193">
        <v>0</v>
      </c>
      <c r="Q193" s="501">
        <v>441</v>
      </c>
      <c r="R193" t="s">
        <v>7331</v>
      </c>
      <c r="S193">
        <v>0</v>
      </c>
    </row>
    <row r="194" spans="1:19">
      <c r="A194" t="s">
        <v>9201</v>
      </c>
      <c r="B194">
        <v>103</v>
      </c>
      <c r="C194" t="s">
        <v>7328</v>
      </c>
      <c r="D194" t="s">
        <v>9565</v>
      </c>
      <c r="E194" t="s">
        <v>9594</v>
      </c>
      <c r="F194" t="s">
        <v>9567</v>
      </c>
      <c r="G194" t="s">
        <v>9595</v>
      </c>
      <c r="H194">
        <v>-3.5</v>
      </c>
      <c r="L194" t="s">
        <v>7330</v>
      </c>
      <c r="M194" t="s">
        <v>7330</v>
      </c>
      <c r="N194" s="501">
        <v>452</v>
      </c>
      <c r="O194" s="501">
        <v>32</v>
      </c>
      <c r="P194" s="501">
        <v>0</v>
      </c>
      <c r="Q194" s="501">
        <v>484</v>
      </c>
      <c r="R194" t="s">
        <v>7331</v>
      </c>
      <c r="S194">
        <v>0</v>
      </c>
    </row>
    <row r="195" spans="1:19">
      <c r="A195" t="s">
        <v>9201</v>
      </c>
      <c r="B195">
        <v>103</v>
      </c>
      <c r="C195" t="s">
        <v>7328</v>
      </c>
      <c r="D195" t="s">
        <v>9565</v>
      </c>
      <c r="E195" t="s">
        <v>9594</v>
      </c>
      <c r="F195" t="s">
        <v>9567</v>
      </c>
      <c r="G195" t="s">
        <v>9595</v>
      </c>
      <c r="H195">
        <v>-3.5</v>
      </c>
      <c r="K195" t="s">
        <v>10179</v>
      </c>
      <c r="L195" t="s">
        <v>12105</v>
      </c>
      <c r="M195" t="s">
        <v>12106</v>
      </c>
      <c r="N195" s="501"/>
      <c r="O195" s="501">
        <v>10</v>
      </c>
      <c r="P195" s="501">
        <v>10</v>
      </c>
      <c r="Q195" s="501"/>
      <c r="R195" t="s">
        <v>7331</v>
      </c>
      <c r="S195">
        <v>0</v>
      </c>
    </row>
    <row r="196" spans="1:19">
      <c r="A196" t="s">
        <v>9201</v>
      </c>
      <c r="B196">
        <v>103</v>
      </c>
      <c r="C196" t="s">
        <v>7328</v>
      </c>
      <c r="D196" t="s">
        <v>9565</v>
      </c>
      <c r="E196" t="s">
        <v>9594</v>
      </c>
      <c r="F196" t="s">
        <v>9567</v>
      </c>
      <c r="G196" t="s">
        <v>9595</v>
      </c>
      <c r="H196">
        <v>-3.5</v>
      </c>
      <c r="K196" t="s">
        <v>10179</v>
      </c>
      <c r="L196" t="s">
        <v>12107</v>
      </c>
      <c r="M196" t="s">
        <v>12108</v>
      </c>
      <c r="N196" s="501"/>
      <c r="O196" s="501">
        <v>10</v>
      </c>
      <c r="P196" s="501">
        <v>10</v>
      </c>
      <c r="Q196" s="501"/>
      <c r="R196" t="s">
        <v>7331</v>
      </c>
      <c r="S196">
        <v>0</v>
      </c>
    </row>
    <row r="197" spans="1:19">
      <c r="A197" t="s">
        <v>9201</v>
      </c>
      <c r="B197">
        <v>103</v>
      </c>
      <c r="C197" t="s">
        <v>7328</v>
      </c>
      <c r="D197" t="s">
        <v>9565</v>
      </c>
      <c r="E197" t="s">
        <v>9596</v>
      </c>
      <c r="F197" t="s">
        <v>9567</v>
      </c>
      <c r="G197" t="s">
        <v>9597</v>
      </c>
      <c r="H197">
        <v>-3.75</v>
      </c>
      <c r="L197" t="s">
        <v>7330</v>
      </c>
      <c r="M197" t="s">
        <v>7330</v>
      </c>
      <c r="N197" s="501">
        <v>191</v>
      </c>
      <c r="O197" s="501">
        <v>8</v>
      </c>
      <c r="P197" s="501">
        <v>0</v>
      </c>
      <c r="Q197" s="501">
        <v>199</v>
      </c>
      <c r="R197" t="s">
        <v>7331</v>
      </c>
      <c r="S197">
        <v>0</v>
      </c>
    </row>
    <row r="198" spans="1:19">
      <c r="A198" t="s">
        <v>9201</v>
      </c>
      <c r="B198">
        <v>103</v>
      </c>
      <c r="C198" t="s">
        <v>7328</v>
      </c>
      <c r="D198" t="s">
        <v>9565</v>
      </c>
      <c r="E198" t="s">
        <v>9596</v>
      </c>
      <c r="F198" t="s">
        <v>9567</v>
      </c>
      <c r="G198" t="s">
        <v>9597</v>
      </c>
      <c r="H198">
        <v>-3.75</v>
      </c>
      <c r="K198" t="s">
        <v>10179</v>
      </c>
      <c r="L198" t="s">
        <v>12109</v>
      </c>
      <c r="M198" t="s">
        <v>12110</v>
      </c>
      <c r="N198" s="501"/>
      <c r="O198">
        <v>10</v>
      </c>
      <c r="P198">
        <v>10</v>
      </c>
      <c r="Q198" s="501"/>
      <c r="R198" t="s">
        <v>7331</v>
      </c>
      <c r="S198">
        <v>0</v>
      </c>
    </row>
    <row r="199" spans="1:19">
      <c r="A199" t="s">
        <v>9201</v>
      </c>
      <c r="B199">
        <v>103</v>
      </c>
      <c r="C199" t="s">
        <v>7328</v>
      </c>
      <c r="D199" t="s">
        <v>9565</v>
      </c>
      <c r="E199" t="s">
        <v>9596</v>
      </c>
      <c r="F199" t="s">
        <v>9567</v>
      </c>
      <c r="G199" t="s">
        <v>9597</v>
      </c>
      <c r="H199">
        <v>-3.75</v>
      </c>
      <c r="K199" t="s">
        <v>11881</v>
      </c>
      <c r="L199" t="s">
        <v>12111</v>
      </c>
      <c r="M199" t="s">
        <v>12112</v>
      </c>
      <c r="N199" s="501"/>
      <c r="O199" s="501">
        <v>10</v>
      </c>
      <c r="P199" s="501">
        <v>10</v>
      </c>
      <c r="Q199" s="501"/>
      <c r="R199" t="s">
        <v>7331</v>
      </c>
      <c r="S199">
        <v>0</v>
      </c>
    </row>
    <row r="200" spans="1:19">
      <c r="A200" t="s">
        <v>9201</v>
      </c>
      <c r="B200">
        <v>103</v>
      </c>
      <c r="C200" t="s">
        <v>7328</v>
      </c>
      <c r="D200" t="s">
        <v>9565</v>
      </c>
      <c r="E200" t="s">
        <v>9598</v>
      </c>
      <c r="F200" t="s">
        <v>9567</v>
      </c>
      <c r="G200" t="s">
        <v>9599</v>
      </c>
      <c r="H200">
        <v>-4</v>
      </c>
      <c r="L200" t="s">
        <v>7330</v>
      </c>
      <c r="M200" t="s">
        <v>7330</v>
      </c>
      <c r="N200" s="501">
        <v>264</v>
      </c>
      <c r="P200">
        <v>0</v>
      </c>
      <c r="Q200" s="501">
        <v>264</v>
      </c>
      <c r="R200" t="s">
        <v>7331</v>
      </c>
      <c r="S200">
        <v>0</v>
      </c>
    </row>
    <row r="201" spans="1:19">
      <c r="A201" t="s">
        <v>9201</v>
      </c>
      <c r="B201">
        <v>103</v>
      </c>
      <c r="C201" t="s">
        <v>7328</v>
      </c>
      <c r="D201" t="s">
        <v>9565</v>
      </c>
      <c r="E201" t="s">
        <v>9600</v>
      </c>
      <c r="F201" t="s">
        <v>9567</v>
      </c>
      <c r="G201" t="s">
        <v>9601</v>
      </c>
      <c r="H201">
        <v>-4.25</v>
      </c>
      <c r="L201" t="s">
        <v>7330</v>
      </c>
      <c r="M201" t="s">
        <v>7330</v>
      </c>
      <c r="N201" s="501">
        <v>70</v>
      </c>
      <c r="O201" s="501">
        <v>28</v>
      </c>
      <c r="P201">
        <v>0</v>
      </c>
      <c r="Q201" s="501">
        <v>98</v>
      </c>
      <c r="R201" t="s">
        <v>7331</v>
      </c>
      <c r="S201">
        <v>0</v>
      </c>
    </row>
    <row r="202" spans="1:19">
      <c r="A202" t="s">
        <v>9201</v>
      </c>
      <c r="B202">
        <v>103</v>
      </c>
      <c r="C202" t="s">
        <v>7328</v>
      </c>
      <c r="D202" t="s">
        <v>9565</v>
      </c>
      <c r="E202" t="s">
        <v>9602</v>
      </c>
      <c r="F202" t="s">
        <v>9567</v>
      </c>
      <c r="G202" t="s">
        <v>9603</v>
      </c>
      <c r="H202">
        <v>-4.5</v>
      </c>
      <c r="L202" t="s">
        <v>7330</v>
      </c>
      <c r="M202" t="s">
        <v>7330</v>
      </c>
      <c r="N202" s="501">
        <v>40</v>
      </c>
      <c r="O202" s="501">
        <v>8</v>
      </c>
      <c r="P202" s="501">
        <v>0</v>
      </c>
      <c r="Q202" s="501">
        <v>48</v>
      </c>
      <c r="R202" t="s">
        <v>7331</v>
      </c>
      <c r="S202">
        <v>0</v>
      </c>
    </row>
    <row r="203" spans="1:19">
      <c r="A203" t="s">
        <v>9201</v>
      </c>
      <c r="B203">
        <v>103</v>
      </c>
      <c r="C203" t="s">
        <v>7328</v>
      </c>
      <c r="D203" t="s">
        <v>9565</v>
      </c>
      <c r="E203" t="s">
        <v>9604</v>
      </c>
      <c r="F203" t="s">
        <v>9567</v>
      </c>
      <c r="G203" t="s">
        <v>9605</v>
      </c>
      <c r="H203">
        <v>-4.75</v>
      </c>
      <c r="L203" t="s">
        <v>7330</v>
      </c>
      <c r="M203" t="s">
        <v>7330</v>
      </c>
      <c r="N203" s="501">
        <v>5</v>
      </c>
      <c r="O203" s="501">
        <v>28</v>
      </c>
      <c r="P203">
        <v>0</v>
      </c>
      <c r="Q203" s="501">
        <v>33</v>
      </c>
      <c r="R203" t="s">
        <v>7331</v>
      </c>
      <c r="S203">
        <v>0</v>
      </c>
    </row>
    <row r="204" spans="1:19">
      <c r="A204" t="s">
        <v>9201</v>
      </c>
      <c r="B204">
        <v>103</v>
      </c>
      <c r="C204" t="s">
        <v>7328</v>
      </c>
      <c r="D204" t="s">
        <v>9565</v>
      </c>
      <c r="E204" t="s">
        <v>9606</v>
      </c>
      <c r="F204" t="s">
        <v>9567</v>
      </c>
      <c r="G204" t="s">
        <v>9607</v>
      </c>
      <c r="H204">
        <v>-5</v>
      </c>
      <c r="L204" t="s">
        <v>7330</v>
      </c>
      <c r="M204" t="s">
        <v>7330</v>
      </c>
      <c r="N204" s="501">
        <v>40</v>
      </c>
      <c r="O204" s="501"/>
      <c r="P204">
        <v>0</v>
      </c>
      <c r="Q204" s="501">
        <v>40</v>
      </c>
      <c r="R204" t="s">
        <v>7331</v>
      </c>
      <c r="S204">
        <v>0</v>
      </c>
    </row>
    <row r="205" spans="1:19">
      <c r="A205" t="s">
        <v>9201</v>
      </c>
      <c r="B205">
        <v>103</v>
      </c>
      <c r="C205" t="s">
        <v>7328</v>
      </c>
      <c r="D205" t="s">
        <v>9565</v>
      </c>
      <c r="E205" t="s">
        <v>9608</v>
      </c>
      <c r="F205" t="s">
        <v>9567</v>
      </c>
      <c r="G205" t="s">
        <v>9609</v>
      </c>
      <c r="H205">
        <v>-5.5</v>
      </c>
      <c r="L205" t="s">
        <v>7330</v>
      </c>
      <c r="M205" t="s">
        <v>7330</v>
      </c>
      <c r="N205" s="501">
        <v>1636</v>
      </c>
      <c r="O205" s="501"/>
      <c r="P205" s="501">
        <v>0</v>
      </c>
      <c r="Q205" s="501">
        <v>1636</v>
      </c>
      <c r="R205" t="s">
        <v>7331</v>
      </c>
      <c r="S205">
        <v>0</v>
      </c>
    </row>
    <row r="206" spans="1:19">
      <c r="A206" t="s">
        <v>9201</v>
      </c>
      <c r="B206">
        <v>103</v>
      </c>
      <c r="C206" t="s">
        <v>7328</v>
      </c>
      <c r="D206" t="s">
        <v>9565</v>
      </c>
      <c r="E206" t="s">
        <v>9610</v>
      </c>
      <c r="F206" t="s">
        <v>9567</v>
      </c>
      <c r="G206" t="s">
        <v>9611</v>
      </c>
      <c r="H206">
        <v>-6</v>
      </c>
      <c r="L206" t="s">
        <v>7330</v>
      </c>
      <c r="M206" t="s">
        <v>7330</v>
      </c>
      <c r="N206" s="501">
        <v>292</v>
      </c>
      <c r="O206">
        <v>32</v>
      </c>
      <c r="P206">
        <v>0</v>
      </c>
      <c r="Q206" s="501">
        <v>324</v>
      </c>
      <c r="R206" t="s">
        <v>7331</v>
      </c>
      <c r="S206">
        <v>0</v>
      </c>
    </row>
    <row r="207" spans="1:19">
      <c r="A207" t="s">
        <v>9201</v>
      </c>
      <c r="B207">
        <v>103</v>
      </c>
      <c r="C207" t="s">
        <v>7328</v>
      </c>
      <c r="D207" t="s">
        <v>9565</v>
      </c>
      <c r="E207" t="s">
        <v>9612</v>
      </c>
      <c r="F207" t="s">
        <v>9567</v>
      </c>
      <c r="G207" t="s">
        <v>9613</v>
      </c>
      <c r="H207">
        <v>-6.5</v>
      </c>
      <c r="L207" t="s">
        <v>7330</v>
      </c>
      <c r="M207" t="s">
        <v>7330</v>
      </c>
      <c r="N207" s="501">
        <v>156</v>
      </c>
      <c r="P207">
        <v>0</v>
      </c>
      <c r="Q207" s="501">
        <v>156</v>
      </c>
      <c r="R207" t="s">
        <v>7331</v>
      </c>
      <c r="S207">
        <v>0</v>
      </c>
    </row>
    <row r="208" spans="1:19">
      <c r="A208" t="s">
        <v>9201</v>
      </c>
      <c r="B208">
        <v>103</v>
      </c>
      <c r="C208" t="s">
        <v>7328</v>
      </c>
      <c r="D208" t="s">
        <v>9565</v>
      </c>
      <c r="E208" t="s">
        <v>9614</v>
      </c>
      <c r="F208" t="s">
        <v>9567</v>
      </c>
      <c r="G208" t="s">
        <v>9615</v>
      </c>
      <c r="H208">
        <v>-7</v>
      </c>
      <c r="L208" t="s">
        <v>7330</v>
      </c>
      <c r="M208" t="s">
        <v>7330</v>
      </c>
      <c r="N208" s="501">
        <v>140</v>
      </c>
      <c r="O208" s="501">
        <v>8</v>
      </c>
      <c r="P208" s="501">
        <v>0</v>
      </c>
      <c r="Q208" s="501">
        <v>148</v>
      </c>
      <c r="R208" t="s">
        <v>7331</v>
      </c>
      <c r="S208">
        <v>0</v>
      </c>
    </row>
    <row r="209" spans="1:19">
      <c r="A209" t="s">
        <v>9201</v>
      </c>
      <c r="B209">
        <v>103</v>
      </c>
      <c r="C209" t="s">
        <v>7328</v>
      </c>
      <c r="D209" t="s">
        <v>9565</v>
      </c>
      <c r="E209" t="s">
        <v>9616</v>
      </c>
      <c r="F209" t="s">
        <v>9567</v>
      </c>
      <c r="G209" t="s">
        <v>9617</v>
      </c>
      <c r="H209">
        <v>-7.5</v>
      </c>
      <c r="L209" t="s">
        <v>7330</v>
      </c>
      <c r="M209" t="s">
        <v>7330</v>
      </c>
      <c r="N209" s="501">
        <v>235</v>
      </c>
      <c r="O209">
        <v>12</v>
      </c>
      <c r="P209">
        <v>0</v>
      </c>
      <c r="Q209" s="501">
        <v>247</v>
      </c>
      <c r="R209" t="s">
        <v>7331</v>
      </c>
      <c r="S209">
        <v>0</v>
      </c>
    </row>
    <row r="210" spans="1:19">
      <c r="A210" t="s">
        <v>9201</v>
      </c>
      <c r="B210">
        <v>103</v>
      </c>
      <c r="C210" t="s">
        <v>7328</v>
      </c>
      <c r="D210" t="s">
        <v>9565</v>
      </c>
      <c r="E210" t="s">
        <v>9618</v>
      </c>
      <c r="F210" t="s">
        <v>9567</v>
      </c>
      <c r="G210" t="s">
        <v>9619</v>
      </c>
      <c r="H210">
        <v>-8</v>
      </c>
      <c r="L210" t="s">
        <v>7330</v>
      </c>
      <c r="M210" t="s">
        <v>7330</v>
      </c>
      <c r="N210" s="501">
        <v>1401</v>
      </c>
      <c r="O210" s="501">
        <v>5</v>
      </c>
      <c r="P210" s="501">
        <v>8</v>
      </c>
      <c r="Q210" s="501">
        <v>1398</v>
      </c>
      <c r="R210" t="s">
        <v>7331</v>
      </c>
      <c r="S210">
        <v>0</v>
      </c>
    </row>
    <row r="211" spans="1:19">
      <c r="A211" t="s">
        <v>9201</v>
      </c>
      <c r="B211">
        <v>103</v>
      </c>
      <c r="C211" t="s">
        <v>7328</v>
      </c>
      <c r="D211" t="s">
        <v>9620</v>
      </c>
      <c r="E211" t="s">
        <v>9621</v>
      </c>
      <c r="F211" t="s">
        <v>9622</v>
      </c>
      <c r="G211" t="s">
        <v>9623</v>
      </c>
      <c r="H211">
        <v>0</v>
      </c>
      <c r="L211" t="s">
        <v>7330</v>
      </c>
      <c r="M211" t="s">
        <v>7330</v>
      </c>
      <c r="N211" s="501">
        <v>155</v>
      </c>
      <c r="O211" s="501">
        <v>55</v>
      </c>
      <c r="P211" s="501">
        <v>0</v>
      </c>
      <c r="Q211" s="501">
        <v>210</v>
      </c>
      <c r="R211" t="s">
        <v>7331</v>
      </c>
      <c r="S211">
        <v>0</v>
      </c>
    </row>
    <row r="212" spans="1:19">
      <c r="A212" t="s">
        <v>9201</v>
      </c>
      <c r="B212">
        <v>103</v>
      </c>
      <c r="C212" t="s">
        <v>7328</v>
      </c>
      <c r="D212" t="s">
        <v>9620</v>
      </c>
      <c r="E212" t="s">
        <v>9624</v>
      </c>
      <c r="F212" t="s">
        <v>9622</v>
      </c>
      <c r="G212" t="s">
        <v>9625</v>
      </c>
      <c r="H212">
        <v>-1</v>
      </c>
      <c r="L212" t="s">
        <v>7330</v>
      </c>
      <c r="M212" t="s">
        <v>7330</v>
      </c>
      <c r="N212" s="501">
        <v>166</v>
      </c>
      <c r="O212" s="501">
        <v>67</v>
      </c>
      <c r="P212" s="501">
        <v>4</v>
      </c>
      <c r="Q212" s="501">
        <v>229</v>
      </c>
      <c r="R212" t="s">
        <v>7331</v>
      </c>
      <c r="S212">
        <v>0</v>
      </c>
    </row>
    <row r="213" spans="1:19">
      <c r="A213" t="s">
        <v>9201</v>
      </c>
      <c r="B213">
        <v>103</v>
      </c>
      <c r="C213" t="s">
        <v>7328</v>
      </c>
      <c r="D213" t="s">
        <v>9620</v>
      </c>
      <c r="E213" t="s">
        <v>9626</v>
      </c>
      <c r="F213" t="s">
        <v>9622</v>
      </c>
      <c r="G213" t="s">
        <v>9627</v>
      </c>
      <c r="H213">
        <v>-1.25</v>
      </c>
      <c r="L213" t="s">
        <v>7330</v>
      </c>
      <c r="M213" t="s">
        <v>7330</v>
      </c>
      <c r="N213" s="501">
        <v>118</v>
      </c>
      <c r="O213" s="501">
        <v>15</v>
      </c>
      <c r="P213" s="501">
        <v>0</v>
      </c>
      <c r="Q213" s="501">
        <v>133</v>
      </c>
      <c r="R213" t="s">
        <v>7331</v>
      </c>
      <c r="S213">
        <v>0</v>
      </c>
    </row>
    <row r="214" spans="1:19">
      <c r="A214" t="s">
        <v>9201</v>
      </c>
      <c r="B214">
        <v>103</v>
      </c>
      <c r="C214" t="s">
        <v>7328</v>
      </c>
      <c r="D214" t="s">
        <v>9620</v>
      </c>
      <c r="E214" t="s">
        <v>9626</v>
      </c>
      <c r="F214" t="s">
        <v>9622</v>
      </c>
      <c r="G214" t="s">
        <v>9627</v>
      </c>
      <c r="H214">
        <v>-1.25</v>
      </c>
      <c r="K214" t="s">
        <v>9343</v>
      </c>
      <c r="L214" t="s">
        <v>9628</v>
      </c>
      <c r="M214" t="s">
        <v>9629</v>
      </c>
      <c r="N214" s="501"/>
      <c r="O214" s="501">
        <v>200</v>
      </c>
      <c r="P214" s="501">
        <v>200</v>
      </c>
      <c r="Q214" s="501"/>
      <c r="R214" t="s">
        <v>7331</v>
      </c>
      <c r="S214">
        <v>0</v>
      </c>
    </row>
    <row r="215" spans="1:19">
      <c r="A215" t="s">
        <v>9201</v>
      </c>
      <c r="B215">
        <v>103</v>
      </c>
      <c r="C215" t="s">
        <v>7328</v>
      </c>
      <c r="D215" t="s">
        <v>9620</v>
      </c>
      <c r="E215" t="s">
        <v>9630</v>
      </c>
      <c r="F215" t="s">
        <v>9622</v>
      </c>
      <c r="G215" t="s">
        <v>9631</v>
      </c>
      <c r="H215">
        <v>-1.5</v>
      </c>
      <c r="L215" t="s">
        <v>7330</v>
      </c>
      <c r="M215" t="s">
        <v>7330</v>
      </c>
      <c r="N215" s="501">
        <v>136</v>
      </c>
      <c r="O215" s="501">
        <v>25</v>
      </c>
      <c r="P215" s="501">
        <v>0</v>
      </c>
      <c r="Q215" s="501">
        <v>161</v>
      </c>
      <c r="R215" t="s">
        <v>7331</v>
      </c>
      <c r="S215">
        <v>0</v>
      </c>
    </row>
    <row r="216" spans="1:19">
      <c r="A216" t="s">
        <v>9201</v>
      </c>
      <c r="B216">
        <v>103</v>
      </c>
      <c r="C216" t="s">
        <v>7328</v>
      </c>
      <c r="D216" t="s">
        <v>9620</v>
      </c>
      <c r="E216" t="s">
        <v>9632</v>
      </c>
      <c r="F216" t="s">
        <v>9622</v>
      </c>
      <c r="G216" t="s">
        <v>9633</v>
      </c>
      <c r="H216">
        <v>-1.75</v>
      </c>
      <c r="L216" t="s">
        <v>7330</v>
      </c>
      <c r="M216" t="s">
        <v>7330</v>
      </c>
      <c r="N216" s="501">
        <v>224</v>
      </c>
      <c r="O216" s="501">
        <v>5</v>
      </c>
      <c r="P216">
        <v>0</v>
      </c>
      <c r="Q216" s="501">
        <v>229</v>
      </c>
      <c r="R216" t="s">
        <v>7331</v>
      </c>
      <c r="S216">
        <v>0</v>
      </c>
    </row>
    <row r="217" spans="1:19">
      <c r="A217" t="s">
        <v>9201</v>
      </c>
      <c r="B217">
        <v>103</v>
      </c>
      <c r="C217" t="s">
        <v>7328</v>
      </c>
      <c r="D217" t="s">
        <v>9620</v>
      </c>
      <c r="E217" t="s">
        <v>9632</v>
      </c>
      <c r="F217" t="s">
        <v>9622</v>
      </c>
      <c r="G217" t="s">
        <v>9633</v>
      </c>
      <c r="H217">
        <v>-1.75</v>
      </c>
      <c r="K217" t="s">
        <v>9343</v>
      </c>
      <c r="L217" t="s">
        <v>9634</v>
      </c>
      <c r="M217" t="s">
        <v>9635</v>
      </c>
      <c r="N217" s="501"/>
      <c r="O217">
        <v>200</v>
      </c>
      <c r="P217">
        <v>200</v>
      </c>
      <c r="Q217" s="501"/>
      <c r="R217" t="s">
        <v>7331</v>
      </c>
      <c r="S217">
        <v>0</v>
      </c>
    </row>
    <row r="218" spans="1:19">
      <c r="A218" t="s">
        <v>9201</v>
      </c>
      <c r="B218">
        <v>103</v>
      </c>
      <c r="C218" t="s">
        <v>7328</v>
      </c>
      <c r="D218" t="s">
        <v>9620</v>
      </c>
      <c r="E218" t="s">
        <v>9636</v>
      </c>
      <c r="F218" t="s">
        <v>9622</v>
      </c>
      <c r="G218" t="s">
        <v>9637</v>
      </c>
      <c r="H218">
        <v>-2</v>
      </c>
      <c r="L218" t="s">
        <v>7330</v>
      </c>
      <c r="M218" t="s">
        <v>7330</v>
      </c>
      <c r="N218" s="501">
        <v>1692</v>
      </c>
      <c r="O218">
        <v>5</v>
      </c>
      <c r="P218">
        <v>0</v>
      </c>
      <c r="Q218" s="501">
        <v>1697</v>
      </c>
      <c r="R218" t="s">
        <v>7331</v>
      </c>
      <c r="S218">
        <v>0</v>
      </c>
    </row>
    <row r="219" spans="1:19">
      <c r="A219" t="s">
        <v>9201</v>
      </c>
      <c r="B219">
        <v>103</v>
      </c>
      <c r="C219" t="s">
        <v>7328</v>
      </c>
      <c r="D219" t="s">
        <v>9620</v>
      </c>
      <c r="E219" t="s">
        <v>9638</v>
      </c>
      <c r="F219" t="s">
        <v>9622</v>
      </c>
      <c r="G219" t="s">
        <v>9639</v>
      </c>
      <c r="H219">
        <v>-2.25</v>
      </c>
      <c r="L219" t="s">
        <v>7330</v>
      </c>
      <c r="M219" t="s">
        <v>7330</v>
      </c>
      <c r="N219" s="501">
        <v>1428</v>
      </c>
      <c r="O219">
        <v>19</v>
      </c>
      <c r="P219">
        <v>0</v>
      </c>
      <c r="Q219" s="501">
        <v>1447</v>
      </c>
      <c r="R219" t="s">
        <v>7331</v>
      </c>
      <c r="S219">
        <v>0</v>
      </c>
    </row>
    <row r="220" spans="1:19">
      <c r="A220" t="s">
        <v>9201</v>
      </c>
      <c r="B220">
        <v>103</v>
      </c>
      <c r="C220" t="s">
        <v>7328</v>
      </c>
      <c r="D220" t="s">
        <v>9620</v>
      </c>
      <c r="E220" t="s">
        <v>9640</v>
      </c>
      <c r="F220" t="s">
        <v>9622</v>
      </c>
      <c r="G220" t="s">
        <v>9641</v>
      </c>
      <c r="H220">
        <v>-2.5</v>
      </c>
      <c r="L220" t="s">
        <v>7330</v>
      </c>
      <c r="M220" t="s">
        <v>7330</v>
      </c>
      <c r="N220" s="501">
        <v>214</v>
      </c>
      <c r="O220">
        <v>20</v>
      </c>
      <c r="P220">
        <v>0</v>
      </c>
      <c r="Q220" s="501">
        <v>234</v>
      </c>
      <c r="R220" t="s">
        <v>7331</v>
      </c>
      <c r="S220">
        <v>0</v>
      </c>
    </row>
    <row r="221" spans="1:19">
      <c r="A221" t="s">
        <v>9201</v>
      </c>
      <c r="B221">
        <v>103</v>
      </c>
      <c r="C221" t="s">
        <v>7328</v>
      </c>
      <c r="D221" t="s">
        <v>9620</v>
      </c>
      <c r="E221" t="s">
        <v>9642</v>
      </c>
      <c r="F221" t="s">
        <v>9622</v>
      </c>
      <c r="G221" t="s">
        <v>9643</v>
      </c>
      <c r="H221">
        <v>-2.75</v>
      </c>
      <c r="L221" t="s">
        <v>7330</v>
      </c>
      <c r="M221" t="s">
        <v>7330</v>
      </c>
      <c r="N221" s="501">
        <v>1818</v>
      </c>
      <c r="O221">
        <v>4</v>
      </c>
      <c r="P221">
        <v>0</v>
      </c>
      <c r="Q221" s="501">
        <v>1822</v>
      </c>
      <c r="R221" t="s">
        <v>7331</v>
      </c>
      <c r="S221">
        <v>0</v>
      </c>
    </row>
    <row r="222" spans="1:19">
      <c r="A222" t="s">
        <v>9201</v>
      </c>
      <c r="B222">
        <v>103</v>
      </c>
      <c r="C222" t="s">
        <v>7328</v>
      </c>
      <c r="D222" t="s">
        <v>9620</v>
      </c>
      <c r="E222" t="s">
        <v>9644</v>
      </c>
      <c r="F222" t="s">
        <v>9622</v>
      </c>
      <c r="G222" t="s">
        <v>9645</v>
      </c>
      <c r="H222">
        <v>-3</v>
      </c>
      <c r="L222" t="s">
        <v>7330</v>
      </c>
      <c r="M222" t="s">
        <v>7330</v>
      </c>
      <c r="N222" s="501">
        <v>1615</v>
      </c>
      <c r="P222">
        <v>0</v>
      </c>
      <c r="Q222" s="501">
        <v>1615</v>
      </c>
      <c r="R222" t="s">
        <v>7331</v>
      </c>
      <c r="S222">
        <v>0</v>
      </c>
    </row>
    <row r="223" spans="1:19">
      <c r="A223" t="s">
        <v>9201</v>
      </c>
      <c r="B223">
        <v>103</v>
      </c>
      <c r="C223" t="s">
        <v>7328</v>
      </c>
      <c r="D223" t="s">
        <v>9620</v>
      </c>
      <c r="E223" t="s">
        <v>9646</v>
      </c>
      <c r="F223" t="s">
        <v>9622</v>
      </c>
      <c r="G223" t="s">
        <v>9647</v>
      </c>
      <c r="H223">
        <v>-3.25</v>
      </c>
      <c r="L223" t="s">
        <v>7330</v>
      </c>
      <c r="M223" t="s">
        <v>7330</v>
      </c>
      <c r="N223" s="501">
        <v>1564</v>
      </c>
      <c r="O223" s="501">
        <v>10</v>
      </c>
      <c r="P223">
        <v>0</v>
      </c>
      <c r="Q223" s="501">
        <v>1574</v>
      </c>
      <c r="R223" t="s">
        <v>7331</v>
      </c>
      <c r="S223">
        <v>0</v>
      </c>
    </row>
    <row r="224" spans="1:19">
      <c r="A224" t="s">
        <v>9201</v>
      </c>
      <c r="B224">
        <v>103</v>
      </c>
      <c r="C224" t="s">
        <v>7328</v>
      </c>
      <c r="D224" t="s">
        <v>9620</v>
      </c>
      <c r="E224" t="s">
        <v>9648</v>
      </c>
      <c r="F224" t="s">
        <v>9622</v>
      </c>
      <c r="G224" t="s">
        <v>9649</v>
      </c>
      <c r="H224">
        <v>-3.5</v>
      </c>
      <c r="L224" t="s">
        <v>7330</v>
      </c>
      <c r="M224" t="s">
        <v>7330</v>
      </c>
      <c r="N224" s="501">
        <v>84</v>
      </c>
      <c r="O224" s="501">
        <v>10</v>
      </c>
      <c r="P224" s="501">
        <v>0</v>
      </c>
      <c r="Q224" s="501">
        <v>94</v>
      </c>
      <c r="R224" t="s">
        <v>7331</v>
      </c>
      <c r="S224">
        <v>0</v>
      </c>
    </row>
    <row r="225" spans="1:19">
      <c r="A225" t="s">
        <v>9201</v>
      </c>
      <c r="B225">
        <v>103</v>
      </c>
      <c r="C225" t="s">
        <v>7328</v>
      </c>
      <c r="D225" t="s">
        <v>9620</v>
      </c>
      <c r="E225" t="s">
        <v>9650</v>
      </c>
      <c r="F225" t="s">
        <v>9622</v>
      </c>
      <c r="G225" t="s">
        <v>9651</v>
      </c>
      <c r="H225">
        <v>-3.75</v>
      </c>
      <c r="L225" t="s">
        <v>7330</v>
      </c>
      <c r="M225" t="s">
        <v>7330</v>
      </c>
      <c r="N225" s="501">
        <v>200</v>
      </c>
      <c r="O225">
        <v>4</v>
      </c>
      <c r="P225">
        <v>0</v>
      </c>
      <c r="Q225" s="501">
        <v>204</v>
      </c>
      <c r="R225" t="s">
        <v>7331</v>
      </c>
      <c r="S225">
        <v>0</v>
      </c>
    </row>
    <row r="226" spans="1:19">
      <c r="A226" t="s">
        <v>9201</v>
      </c>
      <c r="B226">
        <v>103</v>
      </c>
      <c r="C226" t="s">
        <v>7328</v>
      </c>
      <c r="D226" t="s">
        <v>9620</v>
      </c>
      <c r="E226" t="s">
        <v>9652</v>
      </c>
      <c r="F226" t="s">
        <v>9622</v>
      </c>
      <c r="G226" t="s">
        <v>9653</v>
      </c>
      <c r="H226">
        <v>-4</v>
      </c>
      <c r="L226" t="s">
        <v>7330</v>
      </c>
      <c r="M226" t="s">
        <v>7330</v>
      </c>
      <c r="N226" s="501">
        <v>268</v>
      </c>
      <c r="O226" s="501">
        <v>53</v>
      </c>
      <c r="P226" s="501">
        <v>0</v>
      </c>
      <c r="Q226" s="501">
        <v>321</v>
      </c>
      <c r="R226" t="s">
        <v>7331</v>
      </c>
      <c r="S226">
        <v>0</v>
      </c>
    </row>
    <row r="227" spans="1:19">
      <c r="A227" t="s">
        <v>9201</v>
      </c>
      <c r="B227">
        <v>103</v>
      </c>
      <c r="C227" t="s">
        <v>7328</v>
      </c>
      <c r="D227" t="s">
        <v>9620</v>
      </c>
      <c r="E227" t="s">
        <v>9654</v>
      </c>
      <c r="F227" t="s">
        <v>9622</v>
      </c>
      <c r="G227" t="s">
        <v>9655</v>
      </c>
      <c r="H227">
        <v>-4.25</v>
      </c>
      <c r="L227" t="s">
        <v>7330</v>
      </c>
      <c r="M227" t="s">
        <v>7330</v>
      </c>
      <c r="N227" s="501">
        <v>100</v>
      </c>
      <c r="O227" s="501">
        <v>100</v>
      </c>
      <c r="P227" s="501">
        <v>0</v>
      </c>
      <c r="Q227" s="501">
        <v>200</v>
      </c>
      <c r="R227" t="s">
        <v>7331</v>
      </c>
      <c r="S227">
        <v>0</v>
      </c>
    </row>
    <row r="228" spans="1:19">
      <c r="A228" t="s">
        <v>9201</v>
      </c>
      <c r="B228">
        <v>103</v>
      </c>
      <c r="C228" t="s">
        <v>7328</v>
      </c>
      <c r="D228" t="s">
        <v>9620</v>
      </c>
      <c r="E228" t="s">
        <v>9656</v>
      </c>
      <c r="F228" t="s">
        <v>9622</v>
      </c>
      <c r="G228" t="s">
        <v>9657</v>
      </c>
      <c r="H228">
        <v>-4.5</v>
      </c>
      <c r="L228" t="s">
        <v>7330</v>
      </c>
      <c r="M228" t="s">
        <v>7330</v>
      </c>
      <c r="N228" s="501">
        <v>179</v>
      </c>
      <c r="O228" s="501">
        <v>48</v>
      </c>
      <c r="P228" s="501">
        <v>0</v>
      </c>
      <c r="Q228" s="501">
        <v>227</v>
      </c>
      <c r="R228" t="s">
        <v>7331</v>
      </c>
      <c r="S228">
        <v>0</v>
      </c>
    </row>
    <row r="229" spans="1:19">
      <c r="A229" t="s">
        <v>9201</v>
      </c>
      <c r="B229">
        <v>103</v>
      </c>
      <c r="C229" t="s">
        <v>7328</v>
      </c>
      <c r="D229" t="s">
        <v>9620</v>
      </c>
      <c r="E229" t="s">
        <v>9658</v>
      </c>
      <c r="F229" t="s">
        <v>9622</v>
      </c>
      <c r="G229" t="s">
        <v>9659</v>
      </c>
      <c r="H229">
        <v>-4.75</v>
      </c>
      <c r="L229" t="s">
        <v>7330</v>
      </c>
      <c r="M229" t="s">
        <v>7330</v>
      </c>
      <c r="N229" s="501">
        <v>179</v>
      </c>
      <c r="O229" s="501">
        <v>4</v>
      </c>
      <c r="P229">
        <v>0</v>
      </c>
      <c r="Q229" s="501">
        <v>183</v>
      </c>
      <c r="R229" t="s">
        <v>7331</v>
      </c>
      <c r="S229">
        <v>0</v>
      </c>
    </row>
    <row r="230" spans="1:19">
      <c r="A230" t="s">
        <v>9201</v>
      </c>
      <c r="B230">
        <v>103</v>
      </c>
      <c r="C230" t="s">
        <v>7328</v>
      </c>
      <c r="D230" t="s">
        <v>9620</v>
      </c>
      <c r="E230" t="s">
        <v>9660</v>
      </c>
      <c r="F230" t="s">
        <v>9622</v>
      </c>
      <c r="G230" t="s">
        <v>9661</v>
      </c>
      <c r="H230">
        <v>-5</v>
      </c>
      <c r="L230" t="s">
        <v>7330</v>
      </c>
      <c r="M230" t="s">
        <v>7330</v>
      </c>
      <c r="N230" s="501">
        <v>253</v>
      </c>
      <c r="O230" s="501"/>
      <c r="P230" s="501">
        <v>0</v>
      </c>
      <c r="Q230" s="501">
        <v>253</v>
      </c>
      <c r="R230" t="s">
        <v>7331</v>
      </c>
      <c r="S230">
        <v>0</v>
      </c>
    </row>
    <row r="231" spans="1:19">
      <c r="A231" t="s">
        <v>9201</v>
      </c>
      <c r="B231">
        <v>103</v>
      </c>
      <c r="C231" t="s">
        <v>7328</v>
      </c>
      <c r="D231" t="s">
        <v>9620</v>
      </c>
      <c r="E231" t="s">
        <v>9662</v>
      </c>
      <c r="F231" t="s">
        <v>9622</v>
      </c>
      <c r="G231" t="s">
        <v>9663</v>
      </c>
      <c r="H231">
        <v>-5.5</v>
      </c>
      <c r="L231" t="s">
        <v>7330</v>
      </c>
      <c r="M231" t="s">
        <v>7330</v>
      </c>
      <c r="N231" s="501">
        <v>236</v>
      </c>
      <c r="O231" s="501">
        <v>28</v>
      </c>
      <c r="P231" s="501">
        <v>0</v>
      </c>
      <c r="Q231" s="501">
        <v>264</v>
      </c>
      <c r="R231" t="s">
        <v>7331</v>
      </c>
      <c r="S231">
        <v>0</v>
      </c>
    </row>
    <row r="232" spans="1:19">
      <c r="A232" t="s">
        <v>9201</v>
      </c>
      <c r="B232">
        <v>103</v>
      </c>
      <c r="C232" t="s">
        <v>7328</v>
      </c>
      <c r="D232" t="s">
        <v>9620</v>
      </c>
      <c r="E232" t="s">
        <v>9664</v>
      </c>
      <c r="F232" t="s">
        <v>9622</v>
      </c>
      <c r="G232" t="s">
        <v>9665</v>
      </c>
      <c r="H232">
        <v>-6</v>
      </c>
      <c r="L232" t="s">
        <v>7330</v>
      </c>
      <c r="M232" t="s">
        <v>7330</v>
      </c>
      <c r="N232" s="501">
        <v>121</v>
      </c>
      <c r="O232">
        <v>8</v>
      </c>
      <c r="P232">
        <v>0</v>
      </c>
      <c r="Q232" s="501">
        <v>129</v>
      </c>
      <c r="R232" t="s">
        <v>7331</v>
      </c>
      <c r="S232">
        <v>0</v>
      </c>
    </row>
    <row r="233" spans="1:19">
      <c r="A233" t="s">
        <v>9201</v>
      </c>
      <c r="B233">
        <v>103</v>
      </c>
      <c r="C233" t="s">
        <v>7328</v>
      </c>
      <c r="D233" t="s">
        <v>9620</v>
      </c>
      <c r="E233" t="s">
        <v>9666</v>
      </c>
      <c r="F233" t="s">
        <v>9622</v>
      </c>
      <c r="G233" t="s">
        <v>9667</v>
      </c>
      <c r="H233">
        <v>-6.5</v>
      </c>
      <c r="L233" t="s">
        <v>7330</v>
      </c>
      <c r="M233" t="s">
        <v>7330</v>
      </c>
      <c r="N233" s="501">
        <v>50</v>
      </c>
      <c r="O233" s="501">
        <v>95</v>
      </c>
      <c r="P233" s="501">
        <v>0</v>
      </c>
      <c r="Q233" s="501">
        <v>145</v>
      </c>
      <c r="R233" t="s">
        <v>7331</v>
      </c>
      <c r="S233">
        <v>0</v>
      </c>
    </row>
    <row r="234" spans="1:19">
      <c r="A234" t="s">
        <v>9201</v>
      </c>
      <c r="B234">
        <v>103</v>
      </c>
      <c r="C234" t="s">
        <v>7328</v>
      </c>
      <c r="D234" t="s">
        <v>9620</v>
      </c>
      <c r="E234" t="s">
        <v>9668</v>
      </c>
      <c r="F234" t="s">
        <v>9622</v>
      </c>
      <c r="G234" t="s">
        <v>9669</v>
      </c>
      <c r="H234">
        <v>-7</v>
      </c>
      <c r="L234" t="s">
        <v>7330</v>
      </c>
      <c r="M234" t="s">
        <v>7330</v>
      </c>
      <c r="N234" s="501">
        <v>116</v>
      </c>
      <c r="O234" s="501"/>
      <c r="P234" s="501">
        <v>4</v>
      </c>
      <c r="Q234" s="501">
        <v>112</v>
      </c>
      <c r="R234" t="s">
        <v>7331</v>
      </c>
      <c r="S234">
        <v>0</v>
      </c>
    </row>
    <row r="235" spans="1:19">
      <c r="A235" t="s">
        <v>9201</v>
      </c>
      <c r="B235">
        <v>103</v>
      </c>
      <c r="C235" t="s">
        <v>7328</v>
      </c>
      <c r="D235" t="s">
        <v>9620</v>
      </c>
      <c r="E235" t="s">
        <v>9670</v>
      </c>
      <c r="F235" t="s">
        <v>9622</v>
      </c>
      <c r="G235" t="s">
        <v>9671</v>
      </c>
      <c r="H235">
        <v>-7.5</v>
      </c>
      <c r="L235" t="s">
        <v>7330</v>
      </c>
      <c r="M235" t="s">
        <v>7330</v>
      </c>
      <c r="N235" s="501">
        <v>97</v>
      </c>
      <c r="O235">
        <v>16</v>
      </c>
      <c r="P235">
        <v>0</v>
      </c>
      <c r="Q235" s="501">
        <v>113</v>
      </c>
      <c r="R235" t="s">
        <v>7331</v>
      </c>
      <c r="S235">
        <v>0</v>
      </c>
    </row>
    <row r="236" spans="1:19">
      <c r="A236" t="s">
        <v>9201</v>
      </c>
      <c r="B236">
        <v>103</v>
      </c>
      <c r="C236" t="s">
        <v>7328</v>
      </c>
      <c r="D236" t="s">
        <v>9620</v>
      </c>
      <c r="E236" t="s">
        <v>9672</v>
      </c>
      <c r="F236" t="s">
        <v>9622</v>
      </c>
      <c r="G236" t="s">
        <v>9673</v>
      </c>
      <c r="H236">
        <v>-8</v>
      </c>
      <c r="L236" t="s">
        <v>7330</v>
      </c>
      <c r="M236" t="s">
        <v>7330</v>
      </c>
      <c r="N236" s="501">
        <v>226</v>
      </c>
      <c r="O236" s="501">
        <v>16</v>
      </c>
      <c r="P236" s="501">
        <v>0</v>
      </c>
      <c r="Q236" s="501">
        <v>242</v>
      </c>
      <c r="R236" t="s">
        <v>7331</v>
      </c>
      <c r="S236">
        <v>0</v>
      </c>
    </row>
    <row r="237" spans="1:19">
      <c r="A237" t="s">
        <v>9201</v>
      </c>
      <c r="B237">
        <v>103</v>
      </c>
      <c r="C237" t="s">
        <v>7328</v>
      </c>
      <c r="D237" t="s">
        <v>9674</v>
      </c>
      <c r="E237" t="s">
        <v>9675</v>
      </c>
      <c r="F237" t="s">
        <v>9676</v>
      </c>
      <c r="G237" t="s">
        <v>9677</v>
      </c>
      <c r="H237">
        <v>0</v>
      </c>
      <c r="L237" t="s">
        <v>7330</v>
      </c>
      <c r="M237" t="s">
        <v>7330</v>
      </c>
      <c r="N237" s="501">
        <v>175</v>
      </c>
      <c r="O237" s="501">
        <v>60</v>
      </c>
      <c r="P237" s="501">
        <v>0</v>
      </c>
      <c r="Q237" s="501">
        <v>235</v>
      </c>
      <c r="R237" t="s">
        <v>7331</v>
      </c>
      <c r="S237">
        <v>0</v>
      </c>
    </row>
    <row r="238" spans="1:19">
      <c r="A238" t="s">
        <v>9201</v>
      </c>
      <c r="B238">
        <v>103</v>
      </c>
      <c r="C238" t="s">
        <v>7328</v>
      </c>
      <c r="D238" t="s">
        <v>9674</v>
      </c>
      <c r="E238" t="s">
        <v>9675</v>
      </c>
      <c r="F238" t="s">
        <v>9676</v>
      </c>
      <c r="G238" t="s">
        <v>9677</v>
      </c>
      <c r="H238">
        <v>0</v>
      </c>
      <c r="K238" t="s">
        <v>9678</v>
      </c>
      <c r="L238" t="s">
        <v>9679</v>
      </c>
      <c r="M238" t="s">
        <v>9680</v>
      </c>
      <c r="N238" s="501"/>
      <c r="O238" s="501">
        <v>20</v>
      </c>
      <c r="P238">
        <v>20</v>
      </c>
      <c r="Q238" s="501"/>
      <c r="R238" t="s">
        <v>7331</v>
      </c>
      <c r="S238">
        <v>0</v>
      </c>
    </row>
    <row r="239" spans="1:19">
      <c r="A239" t="s">
        <v>9201</v>
      </c>
      <c r="B239">
        <v>103</v>
      </c>
      <c r="C239" t="s">
        <v>7328</v>
      </c>
      <c r="D239" t="s">
        <v>9674</v>
      </c>
      <c r="E239" t="s">
        <v>9675</v>
      </c>
      <c r="F239" t="s">
        <v>9676</v>
      </c>
      <c r="G239" t="s">
        <v>9677</v>
      </c>
      <c r="H239">
        <v>0</v>
      </c>
      <c r="K239" t="s">
        <v>9678</v>
      </c>
      <c r="L239" t="s">
        <v>9681</v>
      </c>
      <c r="M239" t="s">
        <v>9682</v>
      </c>
      <c r="N239" s="501"/>
      <c r="O239" s="501">
        <v>20</v>
      </c>
      <c r="P239" s="501">
        <v>20</v>
      </c>
      <c r="Q239" s="501"/>
      <c r="R239" t="s">
        <v>7331</v>
      </c>
      <c r="S239">
        <v>0</v>
      </c>
    </row>
    <row r="240" spans="1:19">
      <c r="A240" t="s">
        <v>9201</v>
      </c>
      <c r="B240">
        <v>103</v>
      </c>
      <c r="C240" t="s">
        <v>7328</v>
      </c>
      <c r="D240" t="s">
        <v>9674</v>
      </c>
      <c r="E240" t="s">
        <v>9675</v>
      </c>
      <c r="F240" t="s">
        <v>9676</v>
      </c>
      <c r="G240" t="s">
        <v>9677</v>
      </c>
      <c r="H240">
        <v>0</v>
      </c>
      <c r="K240" t="s">
        <v>9678</v>
      </c>
      <c r="L240" t="s">
        <v>9683</v>
      </c>
      <c r="M240" t="s">
        <v>9684</v>
      </c>
      <c r="N240" s="501"/>
      <c r="O240" s="501">
        <v>20</v>
      </c>
      <c r="P240" s="501">
        <v>20</v>
      </c>
      <c r="Q240" s="501"/>
      <c r="R240" t="s">
        <v>7331</v>
      </c>
      <c r="S240">
        <v>0</v>
      </c>
    </row>
    <row r="241" spans="1:19">
      <c r="A241" t="s">
        <v>9201</v>
      </c>
      <c r="B241">
        <v>103</v>
      </c>
      <c r="C241" t="s">
        <v>7328</v>
      </c>
      <c r="D241" t="s">
        <v>9674</v>
      </c>
      <c r="E241" t="s">
        <v>9675</v>
      </c>
      <c r="F241" t="s">
        <v>9676</v>
      </c>
      <c r="G241" t="s">
        <v>9677</v>
      </c>
      <c r="H241">
        <v>0</v>
      </c>
      <c r="K241" t="s">
        <v>9678</v>
      </c>
      <c r="L241" t="s">
        <v>9685</v>
      </c>
      <c r="M241" t="s">
        <v>9686</v>
      </c>
      <c r="N241" s="501"/>
      <c r="O241">
        <v>20</v>
      </c>
      <c r="P241">
        <v>20</v>
      </c>
      <c r="Q241" s="501"/>
      <c r="R241" t="s">
        <v>7331</v>
      </c>
      <c r="S241">
        <v>0</v>
      </c>
    </row>
    <row r="242" spans="1:19">
      <c r="A242" t="s">
        <v>9201</v>
      </c>
      <c r="B242">
        <v>103</v>
      </c>
      <c r="C242" t="s">
        <v>7328</v>
      </c>
      <c r="D242" t="s">
        <v>9674</v>
      </c>
      <c r="E242" t="s">
        <v>9675</v>
      </c>
      <c r="F242" t="s">
        <v>9676</v>
      </c>
      <c r="G242" t="s">
        <v>9677</v>
      </c>
      <c r="H242">
        <v>0</v>
      </c>
      <c r="K242" t="s">
        <v>9678</v>
      </c>
      <c r="L242" t="s">
        <v>9687</v>
      </c>
      <c r="M242" t="s">
        <v>9688</v>
      </c>
      <c r="N242" s="501"/>
      <c r="O242">
        <v>20</v>
      </c>
      <c r="P242">
        <v>20</v>
      </c>
      <c r="Q242" s="501"/>
      <c r="R242" t="s">
        <v>7331</v>
      </c>
      <c r="S242">
        <v>0</v>
      </c>
    </row>
    <row r="243" spans="1:19">
      <c r="A243" t="s">
        <v>9201</v>
      </c>
      <c r="B243">
        <v>103</v>
      </c>
      <c r="C243" t="s">
        <v>7328</v>
      </c>
      <c r="D243" t="s">
        <v>9674</v>
      </c>
      <c r="E243" t="s">
        <v>9689</v>
      </c>
      <c r="F243" t="s">
        <v>9676</v>
      </c>
      <c r="G243" t="s">
        <v>9690</v>
      </c>
      <c r="H243">
        <v>-1</v>
      </c>
      <c r="L243" t="s">
        <v>7330</v>
      </c>
      <c r="M243" t="s">
        <v>7330</v>
      </c>
      <c r="N243" s="501">
        <v>1145</v>
      </c>
      <c r="O243">
        <v>15</v>
      </c>
      <c r="P243">
        <v>0</v>
      </c>
      <c r="Q243" s="501">
        <v>1160</v>
      </c>
      <c r="R243" t="s">
        <v>7331</v>
      </c>
      <c r="S243">
        <v>0</v>
      </c>
    </row>
    <row r="244" spans="1:19">
      <c r="A244" t="s">
        <v>9201</v>
      </c>
      <c r="B244">
        <v>103</v>
      </c>
      <c r="C244" t="s">
        <v>7328</v>
      </c>
      <c r="D244" t="s">
        <v>9674</v>
      </c>
      <c r="E244" t="s">
        <v>9691</v>
      </c>
      <c r="F244" t="s">
        <v>9676</v>
      </c>
      <c r="G244" t="s">
        <v>9692</v>
      </c>
      <c r="H244">
        <v>-1.25</v>
      </c>
      <c r="L244" t="s">
        <v>7330</v>
      </c>
      <c r="M244" t="s">
        <v>7330</v>
      </c>
      <c r="N244" s="501">
        <v>1588</v>
      </c>
      <c r="O244" s="501"/>
      <c r="P244" s="501">
        <v>0</v>
      </c>
      <c r="Q244" s="501">
        <v>1588</v>
      </c>
      <c r="R244" t="s">
        <v>7331</v>
      </c>
      <c r="S244">
        <v>0</v>
      </c>
    </row>
    <row r="245" spans="1:19">
      <c r="A245" t="s">
        <v>9201</v>
      </c>
      <c r="B245">
        <v>103</v>
      </c>
      <c r="C245" t="s">
        <v>7328</v>
      </c>
      <c r="D245" t="s">
        <v>9674</v>
      </c>
      <c r="E245" t="s">
        <v>9693</v>
      </c>
      <c r="F245" t="s">
        <v>9676</v>
      </c>
      <c r="G245" t="s">
        <v>9694</v>
      </c>
      <c r="H245">
        <v>-1.5</v>
      </c>
      <c r="L245" t="s">
        <v>7330</v>
      </c>
      <c r="M245" t="s">
        <v>7330</v>
      </c>
      <c r="N245" s="501">
        <v>122</v>
      </c>
      <c r="O245" s="501">
        <v>58</v>
      </c>
      <c r="P245" s="501">
        <v>0</v>
      </c>
      <c r="Q245" s="501">
        <v>180</v>
      </c>
      <c r="R245" t="s">
        <v>7331</v>
      </c>
      <c r="S245">
        <v>0</v>
      </c>
    </row>
    <row r="246" spans="1:19">
      <c r="A246" t="s">
        <v>9201</v>
      </c>
      <c r="B246">
        <v>103</v>
      </c>
      <c r="C246" t="s">
        <v>7328</v>
      </c>
      <c r="D246" t="s">
        <v>9674</v>
      </c>
      <c r="E246" t="s">
        <v>9695</v>
      </c>
      <c r="F246" t="s">
        <v>9676</v>
      </c>
      <c r="G246" t="s">
        <v>9696</v>
      </c>
      <c r="H246">
        <v>-1.75</v>
      </c>
      <c r="L246" t="s">
        <v>7330</v>
      </c>
      <c r="M246" t="s">
        <v>7330</v>
      </c>
      <c r="N246" s="501">
        <v>169</v>
      </c>
      <c r="O246">
        <v>5</v>
      </c>
      <c r="P246">
        <v>0</v>
      </c>
      <c r="Q246" s="501">
        <v>174</v>
      </c>
      <c r="R246" t="s">
        <v>7331</v>
      </c>
      <c r="S246">
        <v>0</v>
      </c>
    </row>
    <row r="247" spans="1:19">
      <c r="A247" t="s">
        <v>9201</v>
      </c>
      <c r="B247">
        <v>103</v>
      </c>
      <c r="C247" t="s">
        <v>7328</v>
      </c>
      <c r="D247" t="s">
        <v>9674</v>
      </c>
      <c r="E247" t="s">
        <v>9697</v>
      </c>
      <c r="F247" t="s">
        <v>9676</v>
      </c>
      <c r="G247" t="s">
        <v>9698</v>
      </c>
      <c r="H247">
        <v>-2</v>
      </c>
      <c r="L247" t="s">
        <v>7330</v>
      </c>
      <c r="M247" t="s">
        <v>7330</v>
      </c>
      <c r="N247" s="501">
        <v>1166</v>
      </c>
      <c r="O247" s="501"/>
      <c r="P247" s="501">
        <v>0</v>
      </c>
      <c r="Q247" s="501">
        <v>1166</v>
      </c>
      <c r="R247" t="s">
        <v>7331</v>
      </c>
      <c r="S247">
        <v>0</v>
      </c>
    </row>
    <row r="248" spans="1:19">
      <c r="A248" t="s">
        <v>9201</v>
      </c>
      <c r="B248">
        <v>103</v>
      </c>
      <c r="C248" t="s">
        <v>7328</v>
      </c>
      <c r="D248" t="s">
        <v>9674</v>
      </c>
      <c r="E248" t="s">
        <v>9699</v>
      </c>
      <c r="F248" t="s">
        <v>9676</v>
      </c>
      <c r="G248" t="s">
        <v>9700</v>
      </c>
      <c r="H248">
        <v>-2.25</v>
      </c>
      <c r="L248" t="s">
        <v>7330</v>
      </c>
      <c r="M248" t="s">
        <v>7330</v>
      </c>
      <c r="N248" s="501">
        <v>149</v>
      </c>
      <c r="O248" s="501">
        <v>15</v>
      </c>
      <c r="P248" s="501">
        <v>0</v>
      </c>
      <c r="Q248" s="501">
        <v>164</v>
      </c>
      <c r="R248" t="s">
        <v>7331</v>
      </c>
      <c r="S248">
        <v>0</v>
      </c>
    </row>
    <row r="249" spans="1:19">
      <c r="A249" t="s">
        <v>9201</v>
      </c>
      <c r="B249">
        <v>103</v>
      </c>
      <c r="C249" t="s">
        <v>7328</v>
      </c>
      <c r="D249" t="s">
        <v>9674</v>
      </c>
      <c r="E249" t="s">
        <v>9701</v>
      </c>
      <c r="F249" t="s">
        <v>9676</v>
      </c>
      <c r="G249" t="s">
        <v>9702</v>
      </c>
      <c r="H249">
        <v>-2.5</v>
      </c>
      <c r="L249" t="s">
        <v>7330</v>
      </c>
      <c r="M249" t="s">
        <v>7330</v>
      </c>
      <c r="N249" s="501">
        <v>864</v>
      </c>
      <c r="O249" s="501">
        <v>28</v>
      </c>
      <c r="P249" s="501">
        <v>0</v>
      </c>
      <c r="Q249" s="501">
        <v>892</v>
      </c>
      <c r="R249" t="s">
        <v>7331</v>
      </c>
      <c r="S249">
        <v>0</v>
      </c>
    </row>
    <row r="250" spans="1:19">
      <c r="A250" t="s">
        <v>9201</v>
      </c>
      <c r="B250">
        <v>103</v>
      </c>
      <c r="C250" t="s">
        <v>7328</v>
      </c>
      <c r="D250" t="s">
        <v>9674</v>
      </c>
      <c r="E250" t="s">
        <v>9703</v>
      </c>
      <c r="F250" t="s">
        <v>9676</v>
      </c>
      <c r="G250" t="s">
        <v>9704</v>
      </c>
      <c r="H250">
        <v>-3</v>
      </c>
      <c r="L250" t="s">
        <v>7330</v>
      </c>
      <c r="M250" t="s">
        <v>7330</v>
      </c>
      <c r="N250" s="501">
        <v>993</v>
      </c>
      <c r="O250" s="501">
        <v>43</v>
      </c>
      <c r="P250" s="501">
        <v>0</v>
      </c>
      <c r="Q250" s="501">
        <v>1036</v>
      </c>
      <c r="R250" t="s">
        <v>7331</v>
      </c>
      <c r="S250">
        <v>0</v>
      </c>
    </row>
    <row r="251" spans="1:19">
      <c r="A251" t="s">
        <v>9201</v>
      </c>
      <c r="B251">
        <v>103</v>
      </c>
      <c r="C251" t="s">
        <v>7328</v>
      </c>
      <c r="D251" t="s">
        <v>9674</v>
      </c>
      <c r="E251" t="s">
        <v>9705</v>
      </c>
      <c r="F251" t="s">
        <v>9676</v>
      </c>
      <c r="G251" t="s">
        <v>9706</v>
      </c>
      <c r="H251">
        <v>-3.25</v>
      </c>
      <c r="L251" t="s">
        <v>7330</v>
      </c>
      <c r="M251" t="s">
        <v>7330</v>
      </c>
      <c r="N251" s="501">
        <v>357</v>
      </c>
      <c r="O251" s="501">
        <v>28</v>
      </c>
      <c r="P251" s="501">
        <v>0</v>
      </c>
      <c r="Q251" s="501">
        <v>385</v>
      </c>
      <c r="R251" t="s">
        <v>7331</v>
      </c>
      <c r="S251">
        <v>0</v>
      </c>
    </row>
    <row r="252" spans="1:19">
      <c r="A252" t="s">
        <v>9201</v>
      </c>
      <c r="B252">
        <v>103</v>
      </c>
      <c r="C252" t="s">
        <v>7328</v>
      </c>
      <c r="D252" t="s">
        <v>9674</v>
      </c>
      <c r="E252" t="s">
        <v>9707</v>
      </c>
      <c r="F252" t="s">
        <v>9676</v>
      </c>
      <c r="G252" t="s">
        <v>9708</v>
      </c>
      <c r="H252">
        <v>-3.5</v>
      </c>
      <c r="L252" t="s">
        <v>7330</v>
      </c>
      <c r="M252" t="s">
        <v>7330</v>
      </c>
      <c r="N252" s="501">
        <v>318</v>
      </c>
      <c r="O252" s="501">
        <v>8</v>
      </c>
      <c r="P252" s="501">
        <v>0</v>
      </c>
      <c r="Q252" s="501">
        <v>326</v>
      </c>
      <c r="R252" t="s">
        <v>7331</v>
      </c>
      <c r="S252">
        <v>0</v>
      </c>
    </row>
    <row r="253" spans="1:19">
      <c r="A253" t="s">
        <v>9201</v>
      </c>
      <c r="B253">
        <v>103</v>
      </c>
      <c r="C253" t="s">
        <v>7328</v>
      </c>
      <c r="D253" t="s">
        <v>9674</v>
      </c>
      <c r="E253" t="s">
        <v>9709</v>
      </c>
      <c r="F253" t="s">
        <v>9676</v>
      </c>
      <c r="G253" t="s">
        <v>9710</v>
      </c>
      <c r="H253">
        <v>-3.75</v>
      </c>
      <c r="L253" t="s">
        <v>7330</v>
      </c>
      <c r="M253" t="s">
        <v>7330</v>
      </c>
      <c r="N253" s="501">
        <v>157</v>
      </c>
      <c r="O253" s="501">
        <v>60</v>
      </c>
      <c r="P253" s="501">
        <v>0</v>
      </c>
      <c r="Q253" s="501">
        <v>217</v>
      </c>
      <c r="R253" t="s">
        <v>7331</v>
      </c>
      <c r="S253">
        <v>0</v>
      </c>
    </row>
    <row r="254" spans="1:19">
      <c r="A254" t="s">
        <v>9201</v>
      </c>
      <c r="B254">
        <v>103</v>
      </c>
      <c r="C254" t="s">
        <v>7328</v>
      </c>
      <c r="D254" t="s">
        <v>9674</v>
      </c>
      <c r="E254" t="s">
        <v>9711</v>
      </c>
      <c r="F254" t="s">
        <v>9676</v>
      </c>
      <c r="G254" t="s">
        <v>9712</v>
      </c>
      <c r="H254">
        <v>-4</v>
      </c>
      <c r="L254" t="s">
        <v>7330</v>
      </c>
      <c r="M254" t="s">
        <v>7330</v>
      </c>
      <c r="N254" s="501">
        <v>1491</v>
      </c>
      <c r="O254">
        <v>5</v>
      </c>
      <c r="P254">
        <v>0</v>
      </c>
      <c r="Q254" s="501">
        <v>1496</v>
      </c>
      <c r="R254" t="s">
        <v>7331</v>
      </c>
      <c r="S254">
        <v>0</v>
      </c>
    </row>
    <row r="255" spans="1:19">
      <c r="A255" t="s">
        <v>9201</v>
      </c>
      <c r="B255">
        <v>103</v>
      </c>
      <c r="C255" t="s">
        <v>7328</v>
      </c>
      <c r="D255" t="s">
        <v>9674</v>
      </c>
      <c r="E255" t="s">
        <v>9713</v>
      </c>
      <c r="F255" t="s">
        <v>9676</v>
      </c>
      <c r="G255" t="s">
        <v>9714</v>
      </c>
      <c r="H255">
        <v>-4.25</v>
      </c>
      <c r="L255" t="s">
        <v>7330</v>
      </c>
      <c r="M255" t="s">
        <v>7330</v>
      </c>
      <c r="N255" s="501">
        <v>128</v>
      </c>
      <c r="O255">
        <v>15</v>
      </c>
      <c r="P255">
        <v>0</v>
      </c>
      <c r="Q255" s="501">
        <v>143</v>
      </c>
      <c r="R255" t="s">
        <v>7331</v>
      </c>
      <c r="S255">
        <v>0</v>
      </c>
    </row>
    <row r="256" spans="1:19">
      <c r="A256" t="s">
        <v>9201</v>
      </c>
      <c r="B256">
        <v>103</v>
      </c>
      <c r="C256" t="s">
        <v>7328</v>
      </c>
      <c r="D256" t="s">
        <v>9674</v>
      </c>
      <c r="E256" t="s">
        <v>9715</v>
      </c>
      <c r="F256" t="s">
        <v>9676</v>
      </c>
      <c r="G256" t="s">
        <v>9716</v>
      </c>
      <c r="H256">
        <v>-4.5</v>
      </c>
      <c r="L256" t="s">
        <v>7330</v>
      </c>
      <c r="M256" t="s">
        <v>7330</v>
      </c>
      <c r="N256" s="501">
        <v>1072</v>
      </c>
      <c r="O256" s="501">
        <v>65</v>
      </c>
      <c r="P256">
        <v>0</v>
      </c>
      <c r="Q256" s="501">
        <v>1137</v>
      </c>
      <c r="R256" t="s">
        <v>7331</v>
      </c>
      <c r="S256">
        <v>0</v>
      </c>
    </row>
    <row r="257" spans="1:19">
      <c r="A257" t="s">
        <v>9201</v>
      </c>
      <c r="B257">
        <v>103</v>
      </c>
      <c r="C257" t="s">
        <v>7328</v>
      </c>
      <c r="D257" t="s">
        <v>9674</v>
      </c>
      <c r="E257" t="s">
        <v>9717</v>
      </c>
      <c r="F257" t="s">
        <v>9676</v>
      </c>
      <c r="G257" t="s">
        <v>9718</v>
      </c>
      <c r="H257">
        <v>-4.75</v>
      </c>
      <c r="L257" t="s">
        <v>7330</v>
      </c>
      <c r="M257" t="s">
        <v>7330</v>
      </c>
      <c r="N257" s="501">
        <v>1365</v>
      </c>
      <c r="O257">
        <v>10</v>
      </c>
      <c r="P257">
        <v>0</v>
      </c>
      <c r="Q257" s="501">
        <v>1375</v>
      </c>
      <c r="R257" t="s">
        <v>7331</v>
      </c>
      <c r="S257">
        <v>0</v>
      </c>
    </row>
    <row r="258" spans="1:19">
      <c r="A258" t="s">
        <v>9201</v>
      </c>
      <c r="B258">
        <v>103</v>
      </c>
      <c r="C258" t="s">
        <v>7328</v>
      </c>
      <c r="D258" t="s">
        <v>9674</v>
      </c>
      <c r="E258" t="s">
        <v>9719</v>
      </c>
      <c r="F258" t="s">
        <v>9676</v>
      </c>
      <c r="G258" t="s">
        <v>9720</v>
      </c>
      <c r="H258">
        <v>-5</v>
      </c>
      <c r="L258" t="s">
        <v>7330</v>
      </c>
      <c r="M258" t="s">
        <v>7330</v>
      </c>
      <c r="N258" s="501">
        <v>1598</v>
      </c>
      <c r="O258" s="501">
        <v>55</v>
      </c>
      <c r="P258" s="501">
        <v>0</v>
      </c>
      <c r="Q258" s="501">
        <v>1653</v>
      </c>
      <c r="R258" t="s">
        <v>7331</v>
      </c>
      <c r="S258">
        <v>0</v>
      </c>
    </row>
    <row r="259" spans="1:19">
      <c r="A259" t="s">
        <v>9201</v>
      </c>
      <c r="B259">
        <v>103</v>
      </c>
      <c r="C259" t="s">
        <v>7328</v>
      </c>
      <c r="D259" t="s">
        <v>9674</v>
      </c>
      <c r="E259" t="s">
        <v>9721</v>
      </c>
      <c r="F259" t="s">
        <v>9676</v>
      </c>
      <c r="G259" t="s">
        <v>9722</v>
      </c>
      <c r="H259">
        <v>-5.5</v>
      </c>
      <c r="L259" t="s">
        <v>7330</v>
      </c>
      <c r="M259" t="s">
        <v>7330</v>
      </c>
      <c r="N259" s="501">
        <v>1155</v>
      </c>
      <c r="O259">
        <v>70</v>
      </c>
      <c r="P259">
        <v>0</v>
      </c>
      <c r="Q259" s="501">
        <v>1225</v>
      </c>
      <c r="R259" t="s">
        <v>7331</v>
      </c>
      <c r="S259">
        <v>0</v>
      </c>
    </row>
    <row r="260" spans="1:19">
      <c r="A260" t="s">
        <v>9201</v>
      </c>
      <c r="B260">
        <v>103</v>
      </c>
      <c r="C260" t="s">
        <v>7328</v>
      </c>
      <c r="D260" t="s">
        <v>9674</v>
      </c>
      <c r="E260" t="s">
        <v>9723</v>
      </c>
      <c r="F260" t="s">
        <v>9676</v>
      </c>
      <c r="G260" t="s">
        <v>9724</v>
      </c>
      <c r="H260">
        <v>-6</v>
      </c>
      <c r="L260" t="s">
        <v>7330</v>
      </c>
      <c r="M260" t="s">
        <v>7330</v>
      </c>
      <c r="N260" s="501">
        <v>92</v>
      </c>
      <c r="O260" s="501">
        <v>50</v>
      </c>
      <c r="P260" s="501">
        <v>0</v>
      </c>
      <c r="Q260" s="501">
        <v>142</v>
      </c>
      <c r="R260" t="s">
        <v>7331</v>
      </c>
      <c r="S260">
        <v>0</v>
      </c>
    </row>
    <row r="261" spans="1:19">
      <c r="A261" t="s">
        <v>9201</v>
      </c>
      <c r="B261">
        <v>103</v>
      </c>
      <c r="C261" t="s">
        <v>7328</v>
      </c>
      <c r="D261" t="s">
        <v>9674</v>
      </c>
      <c r="E261" t="s">
        <v>9725</v>
      </c>
      <c r="F261" t="s">
        <v>9676</v>
      </c>
      <c r="G261" t="s">
        <v>9726</v>
      </c>
      <c r="H261">
        <v>-6.5</v>
      </c>
      <c r="L261" t="s">
        <v>7330</v>
      </c>
      <c r="M261" t="s">
        <v>7330</v>
      </c>
      <c r="N261" s="501">
        <v>131</v>
      </c>
      <c r="O261" s="501"/>
      <c r="P261" s="501">
        <v>0</v>
      </c>
      <c r="Q261" s="501">
        <v>131</v>
      </c>
      <c r="R261" t="s">
        <v>7331</v>
      </c>
      <c r="S261">
        <v>0</v>
      </c>
    </row>
    <row r="262" spans="1:19">
      <c r="A262" t="s">
        <v>9201</v>
      </c>
      <c r="B262">
        <v>103</v>
      </c>
      <c r="C262" t="s">
        <v>7328</v>
      </c>
      <c r="D262" t="s">
        <v>9674</v>
      </c>
      <c r="E262" t="s">
        <v>9727</v>
      </c>
      <c r="F262" t="s">
        <v>9676</v>
      </c>
      <c r="G262" t="s">
        <v>9728</v>
      </c>
      <c r="H262">
        <v>-7</v>
      </c>
      <c r="L262" t="s">
        <v>7330</v>
      </c>
      <c r="M262" t="s">
        <v>7330</v>
      </c>
      <c r="N262" s="501">
        <v>198</v>
      </c>
      <c r="O262" s="501"/>
      <c r="P262" s="501">
        <v>0</v>
      </c>
      <c r="Q262" s="501">
        <v>198</v>
      </c>
      <c r="R262" t="s">
        <v>7331</v>
      </c>
      <c r="S262">
        <v>0</v>
      </c>
    </row>
    <row r="263" spans="1:19">
      <c r="A263" t="s">
        <v>9201</v>
      </c>
      <c r="B263">
        <v>103</v>
      </c>
      <c r="C263" t="s">
        <v>7328</v>
      </c>
      <c r="D263" t="s">
        <v>9674</v>
      </c>
      <c r="E263" t="s">
        <v>9729</v>
      </c>
      <c r="F263" t="s">
        <v>9676</v>
      </c>
      <c r="G263" t="s">
        <v>9730</v>
      </c>
      <c r="H263">
        <v>-7.5</v>
      </c>
      <c r="L263" t="s">
        <v>7330</v>
      </c>
      <c r="M263" t="s">
        <v>7330</v>
      </c>
      <c r="N263" s="501">
        <v>205</v>
      </c>
      <c r="O263" s="501">
        <v>9</v>
      </c>
      <c r="P263" s="501">
        <v>0</v>
      </c>
      <c r="Q263" s="501">
        <v>214</v>
      </c>
      <c r="R263" t="s">
        <v>7331</v>
      </c>
      <c r="S263">
        <v>0</v>
      </c>
    </row>
    <row r="264" spans="1:19">
      <c r="A264" t="s">
        <v>9201</v>
      </c>
      <c r="B264">
        <v>103</v>
      </c>
      <c r="C264" t="s">
        <v>7328</v>
      </c>
      <c r="D264" t="s">
        <v>9674</v>
      </c>
      <c r="E264" t="s">
        <v>9731</v>
      </c>
      <c r="F264" t="s">
        <v>9676</v>
      </c>
      <c r="G264" t="s">
        <v>9732</v>
      </c>
      <c r="H264">
        <v>-8</v>
      </c>
      <c r="L264" t="s">
        <v>7330</v>
      </c>
      <c r="M264" t="s">
        <v>7330</v>
      </c>
      <c r="N264" s="501">
        <v>91</v>
      </c>
      <c r="O264" s="501">
        <v>5</v>
      </c>
      <c r="P264" s="501">
        <v>4</v>
      </c>
      <c r="Q264" s="501">
        <v>92</v>
      </c>
      <c r="R264" t="s">
        <v>7331</v>
      </c>
      <c r="S264">
        <v>0</v>
      </c>
    </row>
    <row r="265" spans="1:19">
      <c r="A265" t="s">
        <v>9201</v>
      </c>
      <c r="B265">
        <v>103</v>
      </c>
      <c r="C265" t="s">
        <v>7328</v>
      </c>
      <c r="D265" t="s">
        <v>9733</v>
      </c>
      <c r="E265" t="s">
        <v>9734</v>
      </c>
      <c r="F265" t="s">
        <v>9735</v>
      </c>
      <c r="G265" t="s">
        <v>9736</v>
      </c>
      <c r="H265">
        <v>-3.5</v>
      </c>
      <c r="I265">
        <v>-1.25</v>
      </c>
      <c r="J265">
        <v>180</v>
      </c>
      <c r="L265" t="s">
        <v>7330</v>
      </c>
      <c r="M265" t="s">
        <v>7330</v>
      </c>
      <c r="N265" s="501">
        <v>60</v>
      </c>
      <c r="O265" s="501"/>
      <c r="P265" s="501">
        <v>0</v>
      </c>
      <c r="Q265" s="501">
        <v>60</v>
      </c>
      <c r="R265" t="s">
        <v>9737</v>
      </c>
      <c r="S265">
        <v>0</v>
      </c>
    </row>
    <row r="266" spans="1:19">
      <c r="A266" t="s">
        <v>9201</v>
      </c>
      <c r="B266">
        <v>103</v>
      </c>
      <c r="C266" t="s">
        <v>7328</v>
      </c>
      <c r="D266" t="s">
        <v>9733</v>
      </c>
      <c r="E266" t="s">
        <v>9738</v>
      </c>
      <c r="F266" t="s">
        <v>9735</v>
      </c>
      <c r="G266" t="s">
        <v>9739</v>
      </c>
      <c r="H266">
        <v>-3.75</v>
      </c>
      <c r="I266">
        <v>-1.25</v>
      </c>
      <c r="J266">
        <v>180</v>
      </c>
      <c r="L266" t="s">
        <v>7330</v>
      </c>
      <c r="M266" t="s">
        <v>7330</v>
      </c>
      <c r="N266" s="501">
        <v>30</v>
      </c>
      <c r="O266" s="501"/>
      <c r="P266" s="501">
        <v>0</v>
      </c>
      <c r="Q266" s="501">
        <v>30</v>
      </c>
      <c r="R266" t="s">
        <v>9737</v>
      </c>
      <c r="S266">
        <v>0</v>
      </c>
    </row>
    <row r="267" spans="1:19">
      <c r="A267" t="s">
        <v>9201</v>
      </c>
      <c r="B267">
        <v>103</v>
      </c>
      <c r="C267" t="s">
        <v>7328</v>
      </c>
      <c r="D267" t="s">
        <v>9733</v>
      </c>
      <c r="E267" t="s">
        <v>9740</v>
      </c>
      <c r="F267" t="s">
        <v>9735</v>
      </c>
      <c r="G267" t="s">
        <v>9741</v>
      </c>
      <c r="H267">
        <v>-4.25</v>
      </c>
      <c r="I267">
        <v>-1.25</v>
      </c>
      <c r="J267">
        <v>180</v>
      </c>
      <c r="L267" t="s">
        <v>7330</v>
      </c>
      <c r="M267" t="s">
        <v>7330</v>
      </c>
      <c r="N267" s="501">
        <v>30</v>
      </c>
      <c r="O267" s="501"/>
      <c r="P267" s="501">
        <v>0</v>
      </c>
      <c r="Q267" s="501">
        <v>30</v>
      </c>
      <c r="R267" t="s">
        <v>9737</v>
      </c>
      <c r="S267">
        <v>0</v>
      </c>
    </row>
    <row r="268" spans="1:19">
      <c r="A268" t="s">
        <v>9201</v>
      </c>
      <c r="B268">
        <v>103</v>
      </c>
      <c r="C268" t="s">
        <v>7328</v>
      </c>
      <c r="D268" t="s">
        <v>9742</v>
      </c>
      <c r="E268" t="s">
        <v>9743</v>
      </c>
      <c r="F268" t="s">
        <v>9744</v>
      </c>
      <c r="G268" t="s">
        <v>9745</v>
      </c>
      <c r="H268">
        <v>-2.75</v>
      </c>
      <c r="I268">
        <v>-1.75</v>
      </c>
      <c r="J268">
        <v>180</v>
      </c>
      <c r="L268" t="s">
        <v>7330</v>
      </c>
      <c r="M268" t="s">
        <v>7330</v>
      </c>
      <c r="N268" s="501">
        <v>30</v>
      </c>
      <c r="O268" s="501"/>
      <c r="P268" s="501">
        <v>0</v>
      </c>
      <c r="Q268" s="501">
        <v>30</v>
      </c>
      <c r="R268" t="s">
        <v>9737</v>
      </c>
      <c r="S268">
        <v>0</v>
      </c>
    </row>
    <row r="269" spans="1:19">
      <c r="A269" t="s">
        <v>9201</v>
      </c>
      <c r="B269">
        <v>103</v>
      </c>
      <c r="C269" t="s">
        <v>7328</v>
      </c>
      <c r="D269" t="s">
        <v>9742</v>
      </c>
      <c r="E269" t="s">
        <v>9746</v>
      </c>
      <c r="F269" t="s">
        <v>9744</v>
      </c>
      <c r="G269" t="s">
        <v>9747</v>
      </c>
      <c r="H269">
        <v>-4.5</v>
      </c>
      <c r="I269">
        <v>-1.75</v>
      </c>
      <c r="J269">
        <v>180</v>
      </c>
      <c r="L269" t="s">
        <v>7330</v>
      </c>
      <c r="M269" t="s">
        <v>7330</v>
      </c>
      <c r="N269" s="501">
        <v>30</v>
      </c>
      <c r="P269">
        <v>0</v>
      </c>
      <c r="Q269" s="501">
        <v>30</v>
      </c>
      <c r="R269" t="s">
        <v>9737</v>
      </c>
      <c r="S269">
        <v>0</v>
      </c>
    </row>
    <row r="270" spans="1:19">
      <c r="A270" t="s">
        <v>9201</v>
      </c>
      <c r="B270">
        <v>103</v>
      </c>
      <c r="C270" t="s">
        <v>7328</v>
      </c>
      <c r="D270" t="s">
        <v>9748</v>
      </c>
      <c r="E270" t="s">
        <v>9749</v>
      </c>
      <c r="F270" t="s">
        <v>9750</v>
      </c>
      <c r="G270" t="s">
        <v>9751</v>
      </c>
      <c r="H270">
        <v>-3.75</v>
      </c>
      <c r="L270" t="s">
        <v>7330</v>
      </c>
      <c r="M270" t="s">
        <v>7330</v>
      </c>
      <c r="N270" s="501">
        <v>30</v>
      </c>
      <c r="O270" s="501"/>
      <c r="P270" s="501">
        <v>0</v>
      </c>
      <c r="Q270" s="501">
        <v>30</v>
      </c>
      <c r="R270" t="s">
        <v>7329</v>
      </c>
      <c r="S270">
        <v>0</v>
      </c>
    </row>
    <row r="271" spans="1:19">
      <c r="A271" t="s">
        <v>9201</v>
      </c>
      <c r="B271">
        <v>103</v>
      </c>
      <c r="C271" t="s">
        <v>7328</v>
      </c>
      <c r="D271" t="s">
        <v>9748</v>
      </c>
      <c r="E271" t="s">
        <v>9752</v>
      </c>
      <c r="F271" t="s">
        <v>9750</v>
      </c>
      <c r="G271" t="s">
        <v>9753</v>
      </c>
      <c r="H271">
        <v>-7.5</v>
      </c>
      <c r="L271" t="s">
        <v>7330</v>
      </c>
      <c r="M271" t="s">
        <v>7330</v>
      </c>
      <c r="N271" s="501">
        <v>30</v>
      </c>
      <c r="O271" s="501"/>
      <c r="P271" s="501">
        <v>0</v>
      </c>
      <c r="Q271" s="501">
        <v>30</v>
      </c>
      <c r="R271" t="s">
        <v>7329</v>
      </c>
      <c r="S271">
        <v>0</v>
      </c>
    </row>
    <row r="272" spans="1:19">
      <c r="A272" t="s">
        <v>9201</v>
      </c>
      <c r="B272">
        <v>103</v>
      </c>
      <c r="C272" t="s">
        <v>7328</v>
      </c>
      <c r="D272" t="s">
        <v>9754</v>
      </c>
      <c r="E272" t="s">
        <v>9755</v>
      </c>
      <c r="F272" t="s">
        <v>9756</v>
      </c>
      <c r="G272" t="s">
        <v>9757</v>
      </c>
      <c r="H272">
        <v>0</v>
      </c>
      <c r="L272" t="s">
        <v>7330</v>
      </c>
      <c r="M272" t="s">
        <v>7330</v>
      </c>
      <c r="N272" s="501">
        <v>125</v>
      </c>
      <c r="O272" s="501"/>
      <c r="P272" s="501">
        <v>0</v>
      </c>
      <c r="Q272" s="501">
        <v>125</v>
      </c>
      <c r="R272" t="s">
        <v>7331</v>
      </c>
      <c r="S272">
        <v>0</v>
      </c>
    </row>
    <row r="273" spans="1:19">
      <c r="A273" t="s">
        <v>9201</v>
      </c>
      <c r="B273">
        <v>103</v>
      </c>
      <c r="C273" t="s">
        <v>7328</v>
      </c>
      <c r="D273" t="s">
        <v>9754</v>
      </c>
      <c r="E273" t="s">
        <v>9758</v>
      </c>
      <c r="F273" t="s">
        <v>9756</v>
      </c>
      <c r="G273" t="s">
        <v>9759</v>
      </c>
      <c r="H273">
        <v>-1</v>
      </c>
      <c r="L273" t="s">
        <v>7330</v>
      </c>
      <c r="M273" t="s">
        <v>7330</v>
      </c>
      <c r="N273" s="501">
        <v>30</v>
      </c>
      <c r="O273" s="501">
        <v>20</v>
      </c>
      <c r="P273" s="501">
        <v>0</v>
      </c>
      <c r="Q273" s="501">
        <v>50</v>
      </c>
      <c r="R273" t="s">
        <v>7331</v>
      </c>
      <c r="S273">
        <v>0</v>
      </c>
    </row>
    <row r="274" spans="1:19">
      <c r="A274" t="s">
        <v>9201</v>
      </c>
      <c r="B274">
        <v>103</v>
      </c>
      <c r="C274" t="s">
        <v>7328</v>
      </c>
      <c r="D274" t="s">
        <v>9754</v>
      </c>
      <c r="E274" t="s">
        <v>9760</v>
      </c>
      <c r="F274" t="s">
        <v>9756</v>
      </c>
      <c r="G274" t="s">
        <v>9761</v>
      </c>
      <c r="H274">
        <v>-1.25</v>
      </c>
      <c r="L274" t="s">
        <v>7330</v>
      </c>
      <c r="M274" t="s">
        <v>7330</v>
      </c>
      <c r="N274" s="501">
        <v>20</v>
      </c>
      <c r="O274" s="501"/>
      <c r="P274" s="501">
        <v>0</v>
      </c>
      <c r="Q274" s="501">
        <v>20</v>
      </c>
      <c r="R274" t="s">
        <v>7331</v>
      </c>
      <c r="S274">
        <v>0</v>
      </c>
    </row>
    <row r="275" spans="1:19">
      <c r="A275" t="s">
        <v>9201</v>
      </c>
      <c r="B275">
        <v>103</v>
      </c>
      <c r="C275" t="s">
        <v>7328</v>
      </c>
      <c r="D275" t="s">
        <v>9754</v>
      </c>
      <c r="E275" t="s">
        <v>9762</v>
      </c>
      <c r="F275" t="s">
        <v>9756</v>
      </c>
      <c r="G275" t="s">
        <v>9763</v>
      </c>
      <c r="H275">
        <v>-1.5</v>
      </c>
      <c r="L275" t="s">
        <v>7330</v>
      </c>
      <c r="M275" t="s">
        <v>7330</v>
      </c>
      <c r="N275" s="501">
        <v>40</v>
      </c>
      <c r="O275" s="501"/>
      <c r="P275" s="501">
        <v>0</v>
      </c>
      <c r="Q275" s="501">
        <v>40</v>
      </c>
      <c r="R275" t="s">
        <v>7331</v>
      </c>
      <c r="S275">
        <v>0</v>
      </c>
    </row>
    <row r="276" spans="1:19">
      <c r="A276" t="s">
        <v>9201</v>
      </c>
      <c r="B276">
        <v>103</v>
      </c>
      <c r="C276" t="s">
        <v>7328</v>
      </c>
      <c r="D276" t="s">
        <v>9754</v>
      </c>
      <c r="E276" t="s">
        <v>9764</v>
      </c>
      <c r="F276" t="s">
        <v>9756</v>
      </c>
      <c r="G276" t="s">
        <v>9765</v>
      </c>
      <c r="H276">
        <v>-1.75</v>
      </c>
      <c r="L276" t="s">
        <v>7330</v>
      </c>
      <c r="M276" t="s">
        <v>7330</v>
      </c>
      <c r="N276" s="501">
        <v>35</v>
      </c>
      <c r="O276" s="501"/>
      <c r="P276" s="501">
        <v>0</v>
      </c>
      <c r="Q276" s="501">
        <v>35</v>
      </c>
      <c r="R276" t="s">
        <v>7331</v>
      </c>
      <c r="S276">
        <v>0</v>
      </c>
    </row>
    <row r="277" spans="1:19">
      <c r="A277" t="s">
        <v>9201</v>
      </c>
      <c r="B277">
        <v>103</v>
      </c>
      <c r="C277" t="s">
        <v>7328</v>
      </c>
      <c r="D277" t="s">
        <v>9754</v>
      </c>
      <c r="E277" t="s">
        <v>9766</v>
      </c>
      <c r="F277" t="s">
        <v>9756</v>
      </c>
      <c r="G277" t="s">
        <v>9767</v>
      </c>
      <c r="H277">
        <v>-2</v>
      </c>
      <c r="L277" t="s">
        <v>7330</v>
      </c>
      <c r="M277" t="s">
        <v>7330</v>
      </c>
      <c r="N277" s="501">
        <v>10</v>
      </c>
      <c r="O277" s="501">
        <v>5</v>
      </c>
      <c r="P277" s="501">
        <v>0</v>
      </c>
      <c r="Q277" s="501">
        <v>15</v>
      </c>
      <c r="R277" t="s">
        <v>7331</v>
      </c>
      <c r="S277">
        <v>0</v>
      </c>
    </row>
    <row r="278" spans="1:19">
      <c r="A278" t="s">
        <v>9201</v>
      </c>
      <c r="B278">
        <v>103</v>
      </c>
      <c r="C278" t="s">
        <v>7328</v>
      </c>
      <c r="D278" t="s">
        <v>9754</v>
      </c>
      <c r="E278" t="s">
        <v>9768</v>
      </c>
      <c r="F278" t="s">
        <v>9756</v>
      </c>
      <c r="G278" t="s">
        <v>9769</v>
      </c>
      <c r="H278">
        <v>-2.25</v>
      </c>
      <c r="L278" t="s">
        <v>7330</v>
      </c>
      <c r="M278" t="s">
        <v>7330</v>
      </c>
      <c r="N278" s="501">
        <v>15</v>
      </c>
      <c r="O278" s="501"/>
      <c r="P278" s="501">
        <v>0</v>
      </c>
      <c r="Q278" s="501">
        <v>15</v>
      </c>
      <c r="R278" t="s">
        <v>7331</v>
      </c>
      <c r="S278">
        <v>0</v>
      </c>
    </row>
    <row r="279" spans="1:19">
      <c r="A279" t="s">
        <v>9201</v>
      </c>
      <c r="B279">
        <v>103</v>
      </c>
      <c r="C279" t="s">
        <v>7328</v>
      </c>
      <c r="D279" t="s">
        <v>9754</v>
      </c>
      <c r="E279" t="s">
        <v>9770</v>
      </c>
      <c r="F279" t="s">
        <v>9756</v>
      </c>
      <c r="G279" t="s">
        <v>9771</v>
      </c>
      <c r="H279">
        <v>-2.5</v>
      </c>
      <c r="L279" t="s">
        <v>7330</v>
      </c>
      <c r="M279" t="s">
        <v>7330</v>
      </c>
      <c r="N279" s="501">
        <v>60</v>
      </c>
      <c r="O279" s="501">
        <v>20</v>
      </c>
      <c r="P279" s="501">
        <v>0</v>
      </c>
      <c r="Q279" s="501">
        <v>80</v>
      </c>
      <c r="R279" t="s">
        <v>7331</v>
      </c>
      <c r="S279">
        <v>0</v>
      </c>
    </row>
    <row r="280" spans="1:19">
      <c r="A280" t="s">
        <v>9201</v>
      </c>
      <c r="B280">
        <v>103</v>
      </c>
      <c r="C280" t="s">
        <v>7328</v>
      </c>
      <c r="D280" t="s">
        <v>9754</v>
      </c>
      <c r="E280" t="s">
        <v>9772</v>
      </c>
      <c r="F280" t="s">
        <v>9756</v>
      </c>
      <c r="G280" t="s">
        <v>9773</v>
      </c>
      <c r="H280">
        <v>-2.75</v>
      </c>
      <c r="L280" t="s">
        <v>7330</v>
      </c>
      <c r="M280" t="s">
        <v>7330</v>
      </c>
      <c r="N280" s="501">
        <v>65</v>
      </c>
      <c r="O280" s="501"/>
      <c r="P280" s="501">
        <v>0</v>
      </c>
      <c r="Q280" s="501">
        <v>65</v>
      </c>
      <c r="R280" t="s">
        <v>7331</v>
      </c>
      <c r="S280">
        <v>0</v>
      </c>
    </row>
    <row r="281" spans="1:19">
      <c r="A281" t="s">
        <v>9201</v>
      </c>
      <c r="B281">
        <v>103</v>
      </c>
      <c r="C281" t="s">
        <v>7328</v>
      </c>
      <c r="D281" t="s">
        <v>9754</v>
      </c>
      <c r="E281" t="s">
        <v>9772</v>
      </c>
      <c r="F281" t="s">
        <v>9756</v>
      </c>
      <c r="G281" t="s">
        <v>9773</v>
      </c>
      <c r="H281">
        <v>-2.75</v>
      </c>
      <c r="K281" t="s">
        <v>11881</v>
      </c>
      <c r="L281" t="s">
        <v>12113</v>
      </c>
      <c r="M281" t="s">
        <v>12114</v>
      </c>
      <c r="N281" s="501"/>
      <c r="O281">
        <v>10</v>
      </c>
      <c r="P281">
        <v>10</v>
      </c>
      <c r="Q281" s="501"/>
      <c r="R281" t="s">
        <v>7331</v>
      </c>
      <c r="S281">
        <v>0</v>
      </c>
    </row>
    <row r="282" spans="1:19">
      <c r="A282" t="s">
        <v>9201</v>
      </c>
      <c r="B282">
        <v>103</v>
      </c>
      <c r="C282" t="s">
        <v>7328</v>
      </c>
      <c r="D282" t="s">
        <v>9754</v>
      </c>
      <c r="E282" t="s">
        <v>9774</v>
      </c>
      <c r="F282" t="s">
        <v>9756</v>
      </c>
      <c r="G282" t="s">
        <v>9775</v>
      </c>
      <c r="H282">
        <v>-3</v>
      </c>
      <c r="L282" t="s">
        <v>7330</v>
      </c>
      <c r="M282" t="s">
        <v>7330</v>
      </c>
      <c r="N282" s="501">
        <v>15</v>
      </c>
      <c r="O282">
        <v>5</v>
      </c>
      <c r="P282">
        <v>0</v>
      </c>
      <c r="Q282" s="501">
        <v>20</v>
      </c>
      <c r="R282" t="s">
        <v>7331</v>
      </c>
      <c r="S282">
        <v>0</v>
      </c>
    </row>
    <row r="283" spans="1:19">
      <c r="A283" t="s">
        <v>9201</v>
      </c>
      <c r="B283">
        <v>103</v>
      </c>
      <c r="C283" t="s">
        <v>7328</v>
      </c>
      <c r="D283" t="s">
        <v>9754</v>
      </c>
      <c r="E283" t="s">
        <v>9776</v>
      </c>
      <c r="F283" t="s">
        <v>9756</v>
      </c>
      <c r="G283" t="s">
        <v>9777</v>
      </c>
      <c r="H283">
        <v>-3.25</v>
      </c>
      <c r="L283" t="s">
        <v>7330</v>
      </c>
      <c r="M283" t="s">
        <v>7330</v>
      </c>
      <c r="N283" s="501">
        <v>35</v>
      </c>
      <c r="O283" s="501"/>
      <c r="P283" s="501">
        <v>0</v>
      </c>
      <c r="Q283" s="501">
        <v>35</v>
      </c>
      <c r="R283" t="s">
        <v>7331</v>
      </c>
      <c r="S283">
        <v>0</v>
      </c>
    </row>
    <row r="284" spans="1:19">
      <c r="A284" t="s">
        <v>9201</v>
      </c>
      <c r="B284">
        <v>103</v>
      </c>
      <c r="C284" t="s">
        <v>7328</v>
      </c>
      <c r="D284" t="s">
        <v>9754</v>
      </c>
      <c r="E284" t="s">
        <v>9778</v>
      </c>
      <c r="F284" t="s">
        <v>9756</v>
      </c>
      <c r="G284" t="s">
        <v>9779</v>
      </c>
      <c r="H284">
        <v>-3.5</v>
      </c>
      <c r="L284" t="s">
        <v>7330</v>
      </c>
      <c r="M284" t="s">
        <v>7330</v>
      </c>
      <c r="N284" s="501">
        <v>30</v>
      </c>
      <c r="O284" s="501"/>
      <c r="P284" s="501">
        <v>0</v>
      </c>
      <c r="Q284" s="501">
        <v>30</v>
      </c>
      <c r="R284" t="s">
        <v>7331</v>
      </c>
      <c r="S284">
        <v>0</v>
      </c>
    </row>
    <row r="285" spans="1:19">
      <c r="A285" t="s">
        <v>9201</v>
      </c>
      <c r="B285">
        <v>103</v>
      </c>
      <c r="C285" t="s">
        <v>7328</v>
      </c>
      <c r="D285" t="s">
        <v>9754</v>
      </c>
      <c r="E285" t="s">
        <v>9778</v>
      </c>
      <c r="F285" t="s">
        <v>9756</v>
      </c>
      <c r="G285" t="s">
        <v>9779</v>
      </c>
      <c r="H285">
        <v>-3.5</v>
      </c>
      <c r="K285" t="s">
        <v>11881</v>
      </c>
      <c r="L285" t="s">
        <v>12115</v>
      </c>
      <c r="M285" t="s">
        <v>12116</v>
      </c>
      <c r="N285" s="501"/>
      <c r="O285">
        <v>10</v>
      </c>
      <c r="P285">
        <v>10</v>
      </c>
      <c r="Q285" s="501"/>
      <c r="R285" t="s">
        <v>7331</v>
      </c>
      <c r="S285">
        <v>0</v>
      </c>
    </row>
    <row r="286" spans="1:19">
      <c r="A286" t="s">
        <v>9201</v>
      </c>
      <c r="B286">
        <v>103</v>
      </c>
      <c r="C286" t="s">
        <v>7328</v>
      </c>
      <c r="D286" t="s">
        <v>9754</v>
      </c>
      <c r="E286" t="s">
        <v>9778</v>
      </c>
      <c r="F286" t="s">
        <v>9756</v>
      </c>
      <c r="G286" t="s">
        <v>9779</v>
      </c>
      <c r="H286">
        <v>-3.5</v>
      </c>
      <c r="K286" t="s">
        <v>11881</v>
      </c>
      <c r="L286" t="s">
        <v>12117</v>
      </c>
      <c r="M286" t="s">
        <v>12118</v>
      </c>
      <c r="N286" s="501"/>
      <c r="O286" s="501">
        <v>10</v>
      </c>
      <c r="P286" s="501">
        <v>10</v>
      </c>
      <c r="Q286" s="501"/>
      <c r="R286" t="s">
        <v>7331</v>
      </c>
      <c r="S286">
        <v>0</v>
      </c>
    </row>
    <row r="287" spans="1:19">
      <c r="A287" t="s">
        <v>9201</v>
      </c>
      <c r="B287">
        <v>103</v>
      </c>
      <c r="C287" t="s">
        <v>7328</v>
      </c>
      <c r="D287" t="s">
        <v>9754</v>
      </c>
      <c r="E287" t="s">
        <v>9778</v>
      </c>
      <c r="F287" t="s">
        <v>9756</v>
      </c>
      <c r="G287" t="s">
        <v>9779</v>
      </c>
      <c r="H287">
        <v>-3.5</v>
      </c>
      <c r="K287" t="s">
        <v>11881</v>
      </c>
      <c r="L287" t="s">
        <v>12119</v>
      </c>
      <c r="M287" t="s">
        <v>12120</v>
      </c>
      <c r="N287" s="501"/>
      <c r="O287" s="501">
        <v>10</v>
      </c>
      <c r="P287" s="501">
        <v>10</v>
      </c>
      <c r="Q287" s="501"/>
      <c r="R287" t="s">
        <v>7331</v>
      </c>
      <c r="S287">
        <v>0</v>
      </c>
    </row>
    <row r="288" spans="1:19">
      <c r="A288" t="s">
        <v>9201</v>
      </c>
      <c r="B288">
        <v>103</v>
      </c>
      <c r="C288" t="s">
        <v>7328</v>
      </c>
      <c r="D288" t="s">
        <v>9754</v>
      </c>
      <c r="E288" t="s">
        <v>9780</v>
      </c>
      <c r="F288" t="s">
        <v>9756</v>
      </c>
      <c r="G288" t="s">
        <v>9781</v>
      </c>
      <c r="H288">
        <v>-3.75</v>
      </c>
      <c r="L288" t="s">
        <v>7330</v>
      </c>
      <c r="M288" t="s">
        <v>7330</v>
      </c>
      <c r="N288" s="501">
        <v>30</v>
      </c>
      <c r="P288">
        <v>0</v>
      </c>
      <c r="Q288" s="501">
        <v>30</v>
      </c>
      <c r="R288" t="s">
        <v>7331</v>
      </c>
      <c r="S288">
        <v>0</v>
      </c>
    </row>
    <row r="289" spans="1:19">
      <c r="A289" t="s">
        <v>9201</v>
      </c>
      <c r="B289">
        <v>103</v>
      </c>
      <c r="C289" t="s">
        <v>7328</v>
      </c>
      <c r="D289" t="s">
        <v>9754</v>
      </c>
      <c r="E289" t="s">
        <v>9782</v>
      </c>
      <c r="F289" t="s">
        <v>9756</v>
      </c>
      <c r="G289" t="s">
        <v>9783</v>
      </c>
      <c r="H289">
        <v>-4</v>
      </c>
      <c r="L289" t="s">
        <v>7330</v>
      </c>
      <c r="M289" t="s">
        <v>7330</v>
      </c>
      <c r="N289" s="501">
        <v>30</v>
      </c>
      <c r="O289">
        <v>5</v>
      </c>
      <c r="P289">
        <v>0</v>
      </c>
      <c r="Q289" s="501">
        <v>35</v>
      </c>
      <c r="R289" t="s">
        <v>7331</v>
      </c>
      <c r="S289">
        <v>0</v>
      </c>
    </row>
    <row r="290" spans="1:19">
      <c r="A290" t="s">
        <v>9201</v>
      </c>
      <c r="B290">
        <v>103</v>
      </c>
      <c r="C290" t="s">
        <v>7328</v>
      </c>
      <c r="D290" t="s">
        <v>9754</v>
      </c>
      <c r="E290" t="s">
        <v>9782</v>
      </c>
      <c r="F290" t="s">
        <v>9756</v>
      </c>
      <c r="G290" t="s">
        <v>9783</v>
      </c>
      <c r="H290">
        <v>-4</v>
      </c>
      <c r="K290" t="s">
        <v>11881</v>
      </c>
      <c r="L290" t="s">
        <v>12121</v>
      </c>
      <c r="M290" t="s">
        <v>12122</v>
      </c>
      <c r="N290" s="501"/>
      <c r="O290">
        <v>10</v>
      </c>
      <c r="P290">
        <v>10</v>
      </c>
      <c r="Q290" s="501"/>
      <c r="R290" t="s">
        <v>7331</v>
      </c>
      <c r="S290">
        <v>0</v>
      </c>
    </row>
    <row r="291" spans="1:19">
      <c r="A291" t="s">
        <v>9201</v>
      </c>
      <c r="B291">
        <v>103</v>
      </c>
      <c r="C291" t="s">
        <v>7328</v>
      </c>
      <c r="D291" t="s">
        <v>9754</v>
      </c>
      <c r="E291" t="s">
        <v>9784</v>
      </c>
      <c r="F291" t="s">
        <v>9756</v>
      </c>
      <c r="G291" t="s">
        <v>9785</v>
      </c>
      <c r="H291">
        <v>-4.25</v>
      </c>
      <c r="L291" t="s">
        <v>7330</v>
      </c>
      <c r="M291" t="s">
        <v>7330</v>
      </c>
      <c r="N291" s="501">
        <v>10</v>
      </c>
      <c r="P291">
        <v>0</v>
      </c>
      <c r="Q291" s="501">
        <v>10</v>
      </c>
      <c r="R291" t="s">
        <v>7331</v>
      </c>
      <c r="S291">
        <v>0</v>
      </c>
    </row>
    <row r="292" spans="1:19">
      <c r="A292" t="s">
        <v>9201</v>
      </c>
      <c r="B292">
        <v>103</v>
      </c>
      <c r="C292" t="s">
        <v>7328</v>
      </c>
      <c r="D292" t="s">
        <v>9754</v>
      </c>
      <c r="E292" t="s">
        <v>9786</v>
      </c>
      <c r="F292" t="s">
        <v>9756</v>
      </c>
      <c r="G292" t="s">
        <v>9787</v>
      </c>
      <c r="H292">
        <v>-4.5</v>
      </c>
      <c r="L292" t="s">
        <v>7330</v>
      </c>
      <c r="M292" t="s">
        <v>7330</v>
      </c>
      <c r="N292" s="501">
        <v>5</v>
      </c>
      <c r="O292" s="501">
        <v>5</v>
      </c>
      <c r="P292" s="501">
        <v>0</v>
      </c>
      <c r="Q292" s="501">
        <v>10</v>
      </c>
      <c r="R292" t="s">
        <v>7331</v>
      </c>
      <c r="S292">
        <v>0</v>
      </c>
    </row>
    <row r="293" spans="1:19">
      <c r="A293" t="s">
        <v>9201</v>
      </c>
      <c r="B293">
        <v>103</v>
      </c>
      <c r="C293" t="s">
        <v>7328</v>
      </c>
      <c r="D293" t="s">
        <v>9754</v>
      </c>
      <c r="E293" t="s">
        <v>9788</v>
      </c>
      <c r="F293" t="s">
        <v>9756</v>
      </c>
      <c r="G293" t="s">
        <v>9789</v>
      </c>
      <c r="H293">
        <v>-4.75</v>
      </c>
      <c r="L293" t="s">
        <v>7330</v>
      </c>
      <c r="M293" t="s">
        <v>7330</v>
      </c>
      <c r="N293" s="501">
        <v>50</v>
      </c>
      <c r="O293" s="501"/>
      <c r="P293" s="501">
        <v>0</v>
      </c>
      <c r="Q293" s="501">
        <v>50</v>
      </c>
      <c r="R293" t="s">
        <v>7331</v>
      </c>
      <c r="S293">
        <v>0</v>
      </c>
    </row>
    <row r="294" spans="1:19">
      <c r="A294" t="s">
        <v>9201</v>
      </c>
      <c r="B294">
        <v>103</v>
      </c>
      <c r="C294" t="s">
        <v>7328</v>
      </c>
      <c r="D294" t="s">
        <v>9754</v>
      </c>
      <c r="E294" t="s">
        <v>9790</v>
      </c>
      <c r="F294" t="s">
        <v>9756</v>
      </c>
      <c r="G294" t="s">
        <v>9791</v>
      </c>
      <c r="H294">
        <v>-5</v>
      </c>
      <c r="L294" t="s">
        <v>7330</v>
      </c>
      <c r="M294" t="s">
        <v>7330</v>
      </c>
      <c r="N294" s="501">
        <v>40</v>
      </c>
      <c r="O294">
        <v>5</v>
      </c>
      <c r="P294">
        <v>0</v>
      </c>
      <c r="Q294" s="501">
        <v>45</v>
      </c>
      <c r="R294" t="s">
        <v>7331</v>
      </c>
      <c r="S294">
        <v>0</v>
      </c>
    </row>
    <row r="295" spans="1:19">
      <c r="A295" t="s">
        <v>9201</v>
      </c>
      <c r="B295">
        <v>103</v>
      </c>
      <c r="C295" t="s">
        <v>7328</v>
      </c>
      <c r="D295" t="s">
        <v>9754</v>
      </c>
      <c r="E295" t="s">
        <v>9792</v>
      </c>
      <c r="F295" t="s">
        <v>9756</v>
      </c>
      <c r="G295" t="s">
        <v>9793</v>
      </c>
      <c r="H295">
        <v>-5.5</v>
      </c>
      <c r="L295" t="s">
        <v>7330</v>
      </c>
      <c r="M295" t="s">
        <v>7330</v>
      </c>
      <c r="N295" s="501">
        <v>70</v>
      </c>
      <c r="O295">
        <v>10</v>
      </c>
      <c r="P295">
        <v>0</v>
      </c>
      <c r="Q295" s="501">
        <v>80</v>
      </c>
      <c r="R295" t="s">
        <v>7331</v>
      </c>
      <c r="S295">
        <v>0</v>
      </c>
    </row>
    <row r="296" spans="1:19">
      <c r="A296" t="s">
        <v>9201</v>
      </c>
      <c r="B296">
        <v>103</v>
      </c>
      <c r="C296" t="s">
        <v>7328</v>
      </c>
      <c r="D296" t="s">
        <v>9754</v>
      </c>
      <c r="E296" t="s">
        <v>9794</v>
      </c>
      <c r="F296" t="s">
        <v>9756</v>
      </c>
      <c r="G296" t="s">
        <v>9795</v>
      </c>
      <c r="H296">
        <v>-6</v>
      </c>
      <c r="L296" t="s">
        <v>7330</v>
      </c>
      <c r="M296" t="s">
        <v>7330</v>
      </c>
      <c r="N296" s="501">
        <v>55</v>
      </c>
      <c r="O296">
        <v>25</v>
      </c>
      <c r="P296">
        <v>0</v>
      </c>
      <c r="Q296" s="501">
        <v>80</v>
      </c>
      <c r="R296" t="s">
        <v>7331</v>
      </c>
      <c r="S296">
        <v>0</v>
      </c>
    </row>
    <row r="297" spans="1:19">
      <c r="A297" t="s">
        <v>9201</v>
      </c>
      <c r="B297">
        <v>103</v>
      </c>
      <c r="C297" t="s">
        <v>7328</v>
      </c>
      <c r="D297" t="s">
        <v>9754</v>
      </c>
      <c r="E297" t="s">
        <v>9796</v>
      </c>
      <c r="F297" t="s">
        <v>9756</v>
      </c>
      <c r="G297" t="s">
        <v>9797</v>
      </c>
      <c r="H297">
        <v>-6.5</v>
      </c>
      <c r="L297" t="s">
        <v>7330</v>
      </c>
      <c r="M297" t="s">
        <v>7330</v>
      </c>
      <c r="N297" s="501">
        <v>80</v>
      </c>
      <c r="O297">
        <v>5</v>
      </c>
      <c r="P297">
        <v>0</v>
      </c>
      <c r="Q297" s="501">
        <v>85</v>
      </c>
      <c r="R297" t="s">
        <v>7331</v>
      </c>
      <c r="S297">
        <v>0</v>
      </c>
    </row>
    <row r="298" spans="1:19">
      <c r="A298" t="s">
        <v>9201</v>
      </c>
      <c r="B298">
        <v>103</v>
      </c>
      <c r="C298" t="s">
        <v>7328</v>
      </c>
      <c r="D298" t="s">
        <v>9754</v>
      </c>
      <c r="E298" t="s">
        <v>9798</v>
      </c>
      <c r="F298" t="s">
        <v>9756</v>
      </c>
      <c r="G298" t="s">
        <v>9799</v>
      </c>
      <c r="H298">
        <v>-7</v>
      </c>
      <c r="L298" t="s">
        <v>7330</v>
      </c>
      <c r="M298" t="s">
        <v>7330</v>
      </c>
      <c r="N298" s="501">
        <v>35</v>
      </c>
      <c r="P298">
        <v>0</v>
      </c>
      <c r="Q298" s="501">
        <v>35</v>
      </c>
      <c r="R298" t="s">
        <v>7331</v>
      </c>
      <c r="S298">
        <v>0</v>
      </c>
    </row>
    <row r="299" spans="1:19">
      <c r="A299" t="s">
        <v>9201</v>
      </c>
      <c r="B299">
        <v>103</v>
      </c>
      <c r="C299" t="s">
        <v>7328</v>
      </c>
      <c r="D299" t="s">
        <v>9754</v>
      </c>
      <c r="E299" t="s">
        <v>9800</v>
      </c>
      <c r="F299" t="s">
        <v>9756</v>
      </c>
      <c r="G299" t="s">
        <v>9801</v>
      </c>
      <c r="H299">
        <v>-7.5</v>
      </c>
      <c r="L299" t="s">
        <v>7330</v>
      </c>
      <c r="M299" t="s">
        <v>7330</v>
      </c>
      <c r="N299" s="501">
        <v>75</v>
      </c>
      <c r="P299">
        <v>0</v>
      </c>
      <c r="Q299" s="501">
        <v>75</v>
      </c>
      <c r="R299" t="s">
        <v>7331</v>
      </c>
      <c r="S299">
        <v>0</v>
      </c>
    </row>
    <row r="300" spans="1:19">
      <c r="A300" t="s">
        <v>9201</v>
      </c>
      <c r="B300">
        <v>103</v>
      </c>
      <c r="C300" t="s">
        <v>7328</v>
      </c>
      <c r="D300" t="s">
        <v>9754</v>
      </c>
      <c r="E300" t="s">
        <v>9802</v>
      </c>
      <c r="F300" t="s">
        <v>9756</v>
      </c>
      <c r="G300" t="s">
        <v>9803</v>
      </c>
      <c r="H300">
        <v>-8</v>
      </c>
      <c r="L300" t="s">
        <v>7330</v>
      </c>
      <c r="M300" t="s">
        <v>7330</v>
      </c>
      <c r="N300" s="501">
        <v>80</v>
      </c>
      <c r="O300" s="501"/>
      <c r="P300" s="501">
        <v>0</v>
      </c>
      <c r="Q300" s="501">
        <v>80</v>
      </c>
      <c r="R300" t="s">
        <v>7331</v>
      </c>
      <c r="S300">
        <v>0</v>
      </c>
    </row>
    <row r="301" spans="1:19">
      <c r="A301" t="s">
        <v>9201</v>
      </c>
      <c r="B301">
        <v>103</v>
      </c>
      <c r="C301" t="s">
        <v>7328</v>
      </c>
      <c r="D301" t="s">
        <v>12123</v>
      </c>
      <c r="E301" t="s">
        <v>12124</v>
      </c>
      <c r="F301" t="s">
        <v>12125</v>
      </c>
      <c r="G301" t="s">
        <v>12126</v>
      </c>
      <c r="H301">
        <v>0</v>
      </c>
      <c r="K301" t="s">
        <v>10186</v>
      </c>
      <c r="L301" t="s">
        <v>12127</v>
      </c>
      <c r="M301" t="s">
        <v>12128</v>
      </c>
      <c r="N301" s="501"/>
      <c r="O301" s="501">
        <v>20</v>
      </c>
      <c r="P301" s="501">
        <v>20</v>
      </c>
      <c r="Q301" s="501"/>
      <c r="R301" t="s">
        <v>7329</v>
      </c>
      <c r="S301">
        <v>0</v>
      </c>
    </row>
    <row r="302" spans="1:19">
      <c r="A302" t="s">
        <v>9201</v>
      </c>
      <c r="B302">
        <v>103</v>
      </c>
      <c r="C302" t="s">
        <v>7328</v>
      </c>
      <c r="D302" t="s">
        <v>12123</v>
      </c>
      <c r="E302" t="s">
        <v>12129</v>
      </c>
      <c r="F302" t="s">
        <v>12125</v>
      </c>
      <c r="G302" t="s">
        <v>12130</v>
      </c>
      <c r="H302">
        <v>-7.5</v>
      </c>
      <c r="K302" t="s">
        <v>10186</v>
      </c>
      <c r="L302" t="s">
        <v>12131</v>
      </c>
      <c r="M302" t="s">
        <v>12132</v>
      </c>
      <c r="N302" s="501"/>
      <c r="O302">
        <v>20</v>
      </c>
      <c r="P302">
        <v>20</v>
      </c>
      <c r="Q302" s="501"/>
      <c r="R302" t="s">
        <v>7329</v>
      </c>
      <c r="S302">
        <v>0</v>
      </c>
    </row>
    <row r="303" spans="1:19">
      <c r="A303" t="s">
        <v>9201</v>
      </c>
      <c r="B303">
        <v>103</v>
      </c>
      <c r="C303" t="s">
        <v>7328</v>
      </c>
      <c r="D303" t="s">
        <v>9804</v>
      </c>
      <c r="E303" t="s">
        <v>9805</v>
      </c>
      <c r="F303" t="s">
        <v>9806</v>
      </c>
      <c r="G303" t="s">
        <v>9807</v>
      </c>
      <c r="H303">
        <v>0</v>
      </c>
      <c r="K303" t="s">
        <v>9808</v>
      </c>
      <c r="L303" t="s">
        <v>9809</v>
      </c>
      <c r="M303" t="s">
        <v>9810</v>
      </c>
      <c r="N303" s="501"/>
      <c r="O303" s="501">
        <v>900</v>
      </c>
      <c r="P303" s="501">
        <v>900</v>
      </c>
      <c r="Q303" s="501"/>
      <c r="R303" t="s">
        <v>7329</v>
      </c>
      <c r="S303">
        <v>0</v>
      </c>
    </row>
    <row r="304" spans="1:19">
      <c r="A304" t="s">
        <v>9201</v>
      </c>
      <c r="B304">
        <v>103</v>
      </c>
      <c r="C304" t="s">
        <v>7328</v>
      </c>
      <c r="D304" t="s">
        <v>9811</v>
      </c>
      <c r="E304" t="s">
        <v>9812</v>
      </c>
      <c r="F304" t="s">
        <v>9813</v>
      </c>
      <c r="G304" t="s">
        <v>9814</v>
      </c>
      <c r="H304">
        <v>1.25</v>
      </c>
      <c r="K304" t="s">
        <v>9815</v>
      </c>
      <c r="L304" t="s">
        <v>9816</v>
      </c>
      <c r="M304" t="s">
        <v>9817</v>
      </c>
      <c r="N304" s="501"/>
      <c r="O304" s="501">
        <v>10</v>
      </c>
      <c r="P304" s="501">
        <v>10</v>
      </c>
      <c r="Q304" s="501"/>
      <c r="R304" t="s">
        <v>9818</v>
      </c>
      <c r="S304">
        <v>0</v>
      </c>
    </row>
    <row r="305" spans="1:19">
      <c r="A305" t="s">
        <v>9201</v>
      </c>
      <c r="B305">
        <v>103</v>
      </c>
      <c r="C305" t="s">
        <v>7328</v>
      </c>
      <c r="D305" t="s">
        <v>9811</v>
      </c>
      <c r="E305" t="s">
        <v>11868</v>
      </c>
      <c r="F305" t="s">
        <v>9813</v>
      </c>
      <c r="G305" t="s">
        <v>11869</v>
      </c>
      <c r="H305">
        <v>-7</v>
      </c>
      <c r="K305" t="s">
        <v>10179</v>
      </c>
      <c r="L305" t="s">
        <v>11870</v>
      </c>
      <c r="M305" t="s">
        <v>11871</v>
      </c>
      <c r="N305" s="501"/>
      <c r="O305" s="501">
        <v>45</v>
      </c>
      <c r="P305" s="501">
        <v>45</v>
      </c>
      <c r="Q305" s="501"/>
      <c r="R305" t="s">
        <v>9818</v>
      </c>
      <c r="S305">
        <v>0</v>
      </c>
    </row>
    <row r="306" spans="1:19">
      <c r="A306" t="s">
        <v>9201</v>
      </c>
      <c r="B306">
        <v>103</v>
      </c>
      <c r="C306" t="s">
        <v>7328</v>
      </c>
      <c r="D306" t="s">
        <v>9811</v>
      </c>
      <c r="E306" t="s">
        <v>9819</v>
      </c>
      <c r="F306" t="s">
        <v>9813</v>
      </c>
      <c r="G306" t="s">
        <v>9820</v>
      </c>
      <c r="H306">
        <v>-7.5</v>
      </c>
      <c r="K306" t="s">
        <v>9821</v>
      </c>
      <c r="L306" t="s">
        <v>9822</v>
      </c>
      <c r="M306" t="s">
        <v>9823</v>
      </c>
      <c r="N306" s="501"/>
      <c r="O306" s="501">
        <v>10</v>
      </c>
      <c r="P306" s="501">
        <v>10</v>
      </c>
      <c r="Q306" s="501"/>
      <c r="R306" t="s">
        <v>9818</v>
      </c>
      <c r="S306">
        <v>0</v>
      </c>
    </row>
    <row r="307" spans="1:19">
      <c r="A307" t="s">
        <v>9201</v>
      </c>
      <c r="B307">
        <v>103</v>
      </c>
      <c r="C307" t="s">
        <v>7328</v>
      </c>
      <c r="D307" t="s">
        <v>9824</v>
      </c>
      <c r="E307" t="s">
        <v>9825</v>
      </c>
      <c r="F307" t="s">
        <v>9826</v>
      </c>
      <c r="G307" t="s">
        <v>9827</v>
      </c>
      <c r="H307">
        <v>2.25</v>
      </c>
      <c r="K307" t="s">
        <v>9828</v>
      </c>
      <c r="L307" t="s">
        <v>9829</v>
      </c>
      <c r="M307" t="s">
        <v>9830</v>
      </c>
      <c r="N307" s="501"/>
      <c r="O307">
        <v>10</v>
      </c>
      <c r="P307">
        <v>10</v>
      </c>
      <c r="Q307" s="501"/>
      <c r="R307" t="s">
        <v>7332</v>
      </c>
      <c r="S307">
        <v>0</v>
      </c>
    </row>
    <row r="308" spans="1:19">
      <c r="A308" t="s">
        <v>9201</v>
      </c>
      <c r="B308">
        <v>103</v>
      </c>
      <c r="C308" t="s">
        <v>7328</v>
      </c>
      <c r="D308" t="s">
        <v>9824</v>
      </c>
      <c r="E308" t="s">
        <v>9831</v>
      </c>
      <c r="F308" t="s">
        <v>9826</v>
      </c>
      <c r="G308" t="s">
        <v>9832</v>
      </c>
      <c r="H308">
        <v>-0.25</v>
      </c>
      <c r="K308" t="s">
        <v>9821</v>
      </c>
      <c r="L308" t="s">
        <v>9833</v>
      </c>
      <c r="M308" t="s">
        <v>9834</v>
      </c>
      <c r="N308" s="501"/>
      <c r="O308">
        <v>20</v>
      </c>
      <c r="P308">
        <v>20</v>
      </c>
      <c r="Q308" s="501"/>
      <c r="R308" t="s">
        <v>7332</v>
      </c>
      <c r="S308">
        <v>0</v>
      </c>
    </row>
    <row r="309" spans="1:19">
      <c r="A309" t="s">
        <v>9201</v>
      </c>
      <c r="B309">
        <v>103</v>
      </c>
      <c r="C309" t="s">
        <v>7328</v>
      </c>
      <c r="D309" t="s">
        <v>9824</v>
      </c>
      <c r="E309" t="s">
        <v>9835</v>
      </c>
      <c r="F309" t="s">
        <v>9826</v>
      </c>
      <c r="G309" t="s">
        <v>9836</v>
      </c>
      <c r="H309">
        <v>-0.5</v>
      </c>
      <c r="K309" t="s">
        <v>9828</v>
      </c>
      <c r="L309" t="s">
        <v>9837</v>
      </c>
      <c r="M309" t="s">
        <v>9838</v>
      </c>
      <c r="N309" s="501"/>
      <c r="O309">
        <v>50</v>
      </c>
      <c r="P309">
        <v>50</v>
      </c>
      <c r="Q309" s="501"/>
      <c r="R309" t="s">
        <v>7332</v>
      </c>
      <c r="S309">
        <v>0</v>
      </c>
    </row>
    <row r="310" spans="1:19">
      <c r="A310" t="s">
        <v>9201</v>
      </c>
      <c r="B310">
        <v>103</v>
      </c>
      <c r="C310" t="s">
        <v>7328</v>
      </c>
      <c r="D310" t="s">
        <v>9824</v>
      </c>
      <c r="E310" t="s">
        <v>9835</v>
      </c>
      <c r="F310" t="s">
        <v>9826</v>
      </c>
      <c r="G310" t="s">
        <v>9836</v>
      </c>
      <c r="H310">
        <v>-0.5</v>
      </c>
      <c r="K310" t="s">
        <v>9839</v>
      </c>
      <c r="L310" t="s">
        <v>9840</v>
      </c>
      <c r="M310" t="s">
        <v>9841</v>
      </c>
      <c r="N310" s="501"/>
      <c r="O310">
        <v>65</v>
      </c>
      <c r="P310">
        <v>65</v>
      </c>
      <c r="Q310" s="501"/>
      <c r="R310" t="s">
        <v>7332</v>
      </c>
      <c r="S310">
        <v>0</v>
      </c>
    </row>
    <row r="311" spans="1:19">
      <c r="A311" t="s">
        <v>9201</v>
      </c>
      <c r="B311">
        <v>103</v>
      </c>
      <c r="C311" t="s">
        <v>7328</v>
      </c>
      <c r="D311" t="s">
        <v>9824</v>
      </c>
      <c r="E311" t="s">
        <v>9835</v>
      </c>
      <c r="F311" t="s">
        <v>9826</v>
      </c>
      <c r="G311" t="s">
        <v>9836</v>
      </c>
      <c r="H311">
        <v>-0.5</v>
      </c>
      <c r="K311" t="s">
        <v>9343</v>
      </c>
      <c r="L311" t="s">
        <v>9842</v>
      </c>
      <c r="M311" t="s">
        <v>9843</v>
      </c>
      <c r="N311" s="501"/>
      <c r="O311">
        <v>15</v>
      </c>
      <c r="P311">
        <v>15</v>
      </c>
      <c r="Q311" s="501"/>
      <c r="R311" t="s">
        <v>7332</v>
      </c>
      <c r="S311">
        <v>0</v>
      </c>
    </row>
    <row r="312" spans="1:19">
      <c r="A312" t="s">
        <v>9201</v>
      </c>
      <c r="B312">
        <v>103</v>
      </c>
      <c r="C312" t="s">
        <v>7328</v>
      </c>
      <c r="D312" t="s">
        <v>9824</v>
      </c>
      <c r="E312" t="s">
        <v>9835</v>
      </c>
      <c r="F312" t="s">
        <v>9826</v>
      </c>
      <c r="G312" t="s">
        <v>9836</v>
      </c>
      <c r="H312">
        <v>-0.5</v>
      </c>
      <c r="K312" t="s">
        <v>9343</v>
      </c>
      <c r="L312" t="s">
        <v>9844</v>
      </c>
      <c r="M312" t="s">
        <v>9845</v>
      </c>
      <c r="N312" s="501"/>
      <c r="O312">
        <v>65</v>
      </c>
      <c r="P312">
        <v>65</v>
      </c>
      <c r="Q312" s="501"/>
      <c r="R312" t="s">
        <v>7332</v>
      </c>
      <c r="S312">
        <v>0</v>
      </c>
    </row>
    <row r="313" spans="1:19">
      <c r="A313" t="s">
        <v>9201</v>
      </c>
      <c r="B313">
        <v>103</v>
      </c>
      <c r="C313" t="s">
        <v>7328</v>
      </c>
      <c r="D313" t="s">
        <v>9824</v>
      </c>
      <c r="E313" t="s">
        <v>9846</v>
      </c>
      <c r="F313" t="s">
        <v>9826</v>
      </c>
      <c r="G313" t="s">
        <v>9847</v>
      </c>
      <c r="H313">
        <v>-0.75</v>
      </c>
      <c r="K313" t="s">
        <v>9821</v>
      </c>
      <c r="L313" t="s">
        <v>9848</v>
      </c>
      <c r="M313" t="s">
        <v>9849</v>
      </c>
      <c r="N313" s="501"/>
      <c r="O313">
        <v>20</v>
      </c>
      <c r="P313">
        <v>20</v>
      </c>
      <c r="Q313" s="501"/>
      <c r="R313" t="s">
        <v>7332</v>
      </c>
      <c r="S313">
        <v>0</v>
      </c>
    </row>
    <row r="314" spans="1:19">
      <c r="A314" t="s">
        <v>9201</v>
      </c>
      <c r="B314">
        <v>103</v>
      </c>
      <c r="C314" t="s">
        <v>7328</v>
      </c>
      <c r="D314" t="s">
        <v>9824</v>
      </c>
      <c r="E314" t="s">
        <v>9846</v>
      </c>
      <c r="F314" t="s">
        <v>9826</v>
      </c>
      <c r="G314" t="s">
        <v>9847</v>
      </c>
      <c r="H314">
        <v>-0.75</v>
      </c>
      <c r="K314" t="s">
        <v>9821</v>
      </c>
      <c r="L314" t="s">
        <v>9850</v>
      </c>
      <c r="M314" t="s">
        <v>9851</v>
      </c>
      <c r="N314" s="501"/>
      <c r="O314">
        <v>20</v>
      </c>
      <c r="P314">
        <v>20</v>
      </c>
      <c r="Q314" s="501"/>
      <c r="R314" t="s">
        <v>7332</v>
      </c>
      <c r="S314">
        <v>0</v>
      </c>
    </row>
    <row r="315" spans="1:19">
      <c r="A315" t="s">
        <v>9201</v>
      </c>
      <c r="B315">
        <v>103</v>
      </c>
      <c r="C315" t="s">
        <v>7328</v>
      </c>
      <c r="D315" t="s">
        <v>9824</v>
      </c>
      <c r="E315" t="s">
        <v>9846</v>
      </c>
      <c r="F315" t="s">
        <v>9826</v>
      </c>
      <c r="G315" t="s">
        <v>9847</v>
      </c>
      <c r="H315">
        <v>-0.75</v>
      </c>
      <c r="K315" t="s">
        <v>9821</v>
      </c>
      <c r="L315" t="s">
        <v>9852</v>
      </c>
      <c r="M315" t="s">
        <v>9853</v>
      </c>
      <c r="N315" s="501"/>
      <c r="O315">
        <v>10</v>
      </c>
      <c r="P315">
        <v>10</v>
      </c>
      <c r="Q315" s="501"/>
      <c r="R315" t="s">
        <v>7332</v>
      </c>
      <c r="S315">
        <v>0</v>
      </c>
    </row>
    <row r="316" spans="1:19">
      <c r="A316" t="s">
        <v>9201</v>
      </c>
      <c r="B316">
        <v>103</v>
      </c>
      <c r="C316" t="s">
        <v>7328</v>
      </c>
      <c r="D316" t="s">
        <v>9824</v>
      </c>
      <c r="E316" t="s">
        <v>9854</v>
      </c>
      <c r="F316" t="s">
        <v>9826</v>
      </c>
      <c r="G316" t="s">
        <v>9855</v>
      </c>
      <c r="H316">
        <v>-6</v>
      </c>
      <c r="K316" t="s">
        <v>9856</v>
      </c>
      <c r="L316" t="s">
        <v>9857</v>
      </c>
      <c r="M316" t="s">
        <v>9858</v>
      </c>
      <c r="N316" s="501"/>
      <c r="O316" s="501">
        <v>10</v>
      </c>
      <c r="P316" s="501">
        <v>10</v>
      </c>
      <c r="Q316" s="501"/>
      <c r="R316" t="s">
        <v>7332</v>
      </c>
      <c r="S316">
        <v>0</v>
      </c>
    </row>
    <row r="317" spans="1:19">
      <c r="A317" t="s">
        <v>9201</v>
      </c>
      <c r="B317">
        <v>103</v>
      </c>
      <c r="C317" t="s">
        <v>7328</v>
      </c>
      <c r="D317" t="s">
        <v>9824</v>
      </c>
      <c r="E317" t="s">
        <v>9859</v>
      </c>
      <c r="F317" t="s">
        <v>9826</v>
      </c>
      <c r="G317" t="s">
        <v>9860</v>
      </c>
      <c r="H317">
        <v>-6.5</v>
      </c>
      <c r="K317" t="s">
        <v>9856</v>
      </c>
      <c r="L317" t="s">
        <v>9861</v>
      </c>
      <c r="M317" t="s">
        <v>9862</v>
      </c>
      <c r="N317" s="501"/>
      <c r="O317" s="501">
        <v>10</v>
      </c>
      <c r="P317" s="501">
        <v>10</v>
      </c>
      <c r="Q317" s="501"/>
      <c r="R317" t="s">
        <v>7332</v>
      </c>
      <c r="S317">
        <v>0</v>
      </c>
    </row>
    <row r="318" spans="1:19">
      <c r="A318" t="s">
        <v>9201</v>
      </c>
      <c r="B318">
        <v>103</v>
      </c>
      <c r="C318" t="s">
        <v>7328</v>
      </c>
      <c r="D318" t="s">
        <v>9863</v>
      </c>
      <c r="E318" t="s">
        <v>9864</v>
      </c>
      <c r="F318" t="s">
        <v>9865</v>
      </c>
      <c r="G318" t="s">
        <v>9866</v>
      </c>
      <c r="H318">
        <v>-1</v>
      </c>
      <c r="I318">
        <v>-0.75</v>
      </c>
      <c r="J318">
        <v>180</v>
      </c>
      <c r="L318" t="s">
        <v>7330</v>
      </c>
      <c r="M318" t="s">
        <v>7330</v>
      </c>
      <c r="N318" s="501">
        <v>242</v>
      </c>
      <c r="O318" s="501"/>
      <c r="P318" s="501">
        <v>0</v>
      </c>
      <c r="Q318" s="501">
        <v>242</v>
      </c>
      <c r="R318" t="s">
        <v>7927</v>
      </c>
      <c r="S318">
        <v>0</v>
      </c>
    </row>
    <row r="319" spans="1:19">
      <c r="A319" t="s">
        <v>9201</v>
      </c>
      <c r="B319">
        <v>103</v>
      </c>
      <c r="C319" t="s">
        <v>7328</v>
      </c>
      <c r="D319" t="s">
        <v>9863</v>
      </c>
      <c r="E319" t="s">
        <v>9867</v>
      </c>
      <c r="F319" t="s">
        <v>9865</v>
      </c>
      <c r="G319" t="s">
        <v>9866</v>
      </c>
      <c r="H319">
        <v>-1</v>
      </c>
      <c r="I319">
        <v>-1.25</v>
      </c>
      <c r="J319">
        <v>180</v>
      </c>
      <c r="L319" t="s">
        <v>7330</v>
      </c>
      <c r="M319" t="s">
        <v>7330</v>
      </c>
      <c r="N319" s="501">
        <v>244</v>
      </c>
      <c r="O319" s="501"/>
      <c r="P319" s="501">
        <v>0</v>
      </c>
      <c r="Q319" s="501">
        <v>244</v>
      </c>
      <c r="R319" t="s">
        <v>7927</v>
      </c>
      <c r="S319">
        <v>0</v>
      </c>
    </row>
    <row r="320" spans="1:19">
      <c r="A320" t="s">
        <v>9201</v>
      </c>
      <c r="B320">
        <v>103</v>
      </c>
      <c r="C320" t="s">
        <v>7328</v>
      </c>
      <c r="D320" t="s">
        <v>9863</v>
      </c>
      <c r="E320" t="s">
        <v>9868</v>
      </c>
      <c r="F320" t="s">
        <v>9865</v>
      </c>
      <c r="G320" t="s">
        <v>9866</v>
      </c>
      <c r="H320">
        <v>-1</v>
      </c>
      <c r="I320">
        <v>-1.75</v>
      </c>
      <c r="J320">
        <v>180</v>
      </c>
      <c r="L320" t="s">
        <v>7330</v>
      </c>
      <c r="M320" t="s">
        <v>7330</v>
      </c>
      <c r="N320" s="501">
        <v>244</v>
      </c>
      <c r="O320" s="501"/>
      <c r="P320" s="501">
        <v>0</v>
      </c>
      <c r="Q320" s="501">
        <v>244</v>
      </c>
      <c r="R320" t="s">
        <v>7927</v>
      </c>
      <c r="S320">
        <v>0</v>
      </c>
    </row>
    <row r="321" spans="1:19">
      <c r="A321" t="s">
        <v>9201</v>
      </c>
      <c r="B321">
        <v>103</v>
      </c>
      <c r="C321" t="s">
        <v>7328</v>
      </c>
      <c r="D321" t="s">
        <v>9863</v>
      </c>
      <c r="E321" t="s">
        <v>9869</v>
      </c>
      <c r="F321" t="s">
        <v>9865</v>
      </c>
      <c r="G321" t="s">
        <v>9870</v>
      </c>
      <c r="H321">
        <v>-1.25</v>
      </c>
      <c r="I321">
        <v>-1.25</v>
      </c>
      <c r="J321">
        <v>180</v>
      </c>
      <c r="L321" t="s">
        <v>7330</v>
      </c>
      <c r="M321" t="s">
        <v>7330</v>
      </c>
      <c r="N321" s="501">
        <v>192</v>
      </c>
      <c r="P321">
        <v>0</v>
      </c>
      <c r="Q321" s="501">
        <v>192</v>
      </c>
      <c r="R321" t="s">
        <v>7927</v>
      </c>
      <c r="S321">
        <v>0</v>
      </c>
    </row>
    <row r="322" spans="1:19">
      <c r="A322" t="s">
        <v>9201</v>
      </c>
      <c r="B322">
        <v>103</v>
      </c>
      <c r="C322" t="s">
        <v>7328</v>
      </c>
      <c r="D322" t="s">
        <v>9863</v>
      </c>
      <c r="E322" t="s">
        <v>9871</v>
      </c>
      <c r="F322" t="s">
        <v>9865</v>
      </c>
      <c r="G322" t="s">
        <v>9870</v>
      </c>
      <c r="H322">
        <v>-1.25</v>
      </c>
      <c r="I322">
        <v>-1.75</v>
      </c>
      <c r="J322">
        <v>180</v>
      </c>
      <c r="L322" t="s">
        <v>7330</v>
      </c>
      <c r="M322" t="s">
        <v>7330</v>
      </c>
      <c r="N322" s="501">
        <v>168</v>
      </c>
      <c r="P322">
        <v>0</v>
      </c>
      <c r="Q322" s="501">
        <v>168</v>
      </c>
      <c r="R322" t="s">
        <v>7927</v>
      </c>
      <c r="S322">
        <v>0</v>
      </c>
    </row>
    <row r="323" spans="1:19">
      <c r="A323" t="s">
        <v>9201</v>
      </c>
      <c r="B323">
        <v>103</v>
      </c>
      <c r="C323" t="s">
        <v>7328</v>
      </c>
      <c r="D323" t="s">
        <v>9863</v>
      </c>
      <c r="E323" t="s">
        <v>9872</v>
      </c>
      <c r="F323" t="s">
        <v>9865</v>
      </c>
      <c r="G323" t="s">
        <v>9873</v>
      </c>
      <c r="H323">
        <v>-1.5</v>
      </c>
      <c r="I323">
        <v>-0.75</v>
      </c>
      <c r="J323">
        <v>180</v>
      </c>
      <c r="L323" t="s">
        <v>7330</v>
      </c>
      <c r="M323" t="s">
        <v>7330</v>
      </c>
      <c r="N323" s="501">
        <v>224</v>
      </c>
      <c r="O323" s="501"/>
      <c r="P323" s="501">
        <v>0</v>
      </c>
      <c r="Q323" s="501">
        <v>224</v>
      </c>
      <c r="R323" t="s">
        <v>7927</v>
      </c>
      <c r="S323">
        <v>0</v>
      </c>
    </row>
    <row r="324" spans="1:19">
      <c r="A324" t="s">
        <v>9201</v>
      </c>
      <c r="B324">
        <v>103</v>
      </c>
      <c r="C324" t="s">
        <v>7328</v>
      </c>
      <c r="D324" t="s">
        <v>9863</v>
      </c>
      <c r="E324" t="s">
        <v>9874</v>
      </c>
      <c r="F324" t="s">
        <v>9865</v>
      </c>
      <c r="G324" t="s">
        <v>9873</v>
      </c>
      <c r="H324">
        <v>-1.5</v>
      </c>
      <c r="I324">
        <v>-1.25</v>
      </c>
      <c r="J324">
        <v>180</v>
      </c>
      <c r="L324" t="s">
        <v>7330</v>
      </c>
      <c r="M324" t="s">
        <v>7330</v>
      </c>
      <c r="N324" s="501">
        <v>244</v>
      </c>
      <c r="O324" s="501"/>
      <c r="P324" s="501">
        <v>0</v>
      </c>
      <c r="Q324" s="501">
        <v>244</v>
      </c>
      <c r="R324" t="s">
        <v>7927</v>
      </c>
      <c r="S324">
        <v>0</v>
      </c>
    </row>
    <row r="325" spans="1:19">
      <c r="A325" t="s">
        <v>9201</v>
      </c>
      <c r="B325">
        <v>103</v>
      </c>
      <c r="C325" t="s">
        <v>7328</v>
      </c>
      <c r="D325" t="s">
        <v>9863</v>
      </c>
      <c r="E325" t="s">
        <v>9875</v>
      </c>
      <c r="F325" t="s">
        <v>9865</v>
      </c>
      <c r="G325" t="s">
        <v>9873</v>
      </c>
      <c r="H325">
        <v>-1.5</v>
      </c>
      <c r="I325">
        <v>-1.75</v>
      </c>
      <c r="J325">
        <v>180</v>
      </c>
      <c r="L325" t="s">
        <v>7330</v>
      </c>
      <c r="M325" t="s">
        <v>7330</v>
      </c>
      <c r="N325" s="501">
        <v>240</v>
      </c>
      <c r="P325">
        <v>0</v>
      </c>
      <c r="Q325" s="501">
        <v>240</v>
      </c>
      <c r="R325" t="s">
        <v>7927</v>
      </c>
      <c r="S325">
        <v>0</v>
      </c>
    </row>
    <row r="326" spans="1:19">
      <c r="A326" t="s">
        <v>9201</v>
      </c>
      <c r="B326">
        <v>103</v>
      </c>
      <c r="C326" t="s">
        <v>7328</v>
      </c>
      <c r="D326" t="s">
        <v>9863</v>
      </c>
      <c r="E326" t="s">
        <v>9876</v>
      </c>
      <c r="F326" t="s">
        <v>9865</v>
      </c>
      <c r="G326" t="s">
        <v>9877</v>
      </c>
      <c r="H326">
        <v>-1.75</v>
      </c>
      <c r="I326">
        <v>-1.25</v>
      </c>
      <c r="J326">
        <v>180</v>
      </c>
      <c r="L326" t="s">
        <v>7330</v>
      </c>
      <c r="M326" t="s">
        <v>7330</v>
      </c>
      <c r="N326" s="501">
        <v>244</v>
      </c>
      <c r="P326">
        <v>0</v>
      </c>
      <c r="Q326" s="501">
        <v>244</v>
      </c>
      <c r="R326" t="s">
        <v>7927</v>
      </c>
      <c r="S326">
        <v>0</v>
      </c>
    </row>
    <row r="327" spans="1:19">
      <c r="A327" t="s">
        <v>9201</v>
      </c>
      <c r="B327">
        <v>103</v>
      </c>
      <c r="C327" t="s">
        <v>7328</v>
      </c>
      <c r="D327" t="s">
        <v>9863</v>
      </c>
      <c r="E327" t="s">
        <v>9878</v>
      </c>
      <c r="F327" t="s">
        <v>9865</v>
      </c>
      <c r="G327" t="s">
        <v>9877</v>
      </c>
      <c r="H327">
        <v>-1.75</v>
      </c>
      <c r="I327">
        <v>-1.75</v>
      </c>
      <c r="J327">
        <v>180</v>
      </c>
      <c r="L327" t="s">
        <v>7330</v>
      </c>
      <c r="M327" t="s">
        <v>7330</v>
      </c>
      <c r="N327" s="501">
        <v>192</v>
      </c>
      <c r="O327" s="501"/>
      <c r="P327" s="501">
        <v>0</v>
      </c>
      <c r="Q327" s="501">
        <v>192</v>
      </c>
      <c r="R327" t="s">
        <v>7927</v>
      </c>
      <c r="S327">
        <v>0</v>
      </c>
    </row>
    <row r="328" spans="1:19">
      <c r="A328" t="s">
        <v>9201</v>
      </c>
      <c r="B328">
        <v>103</v>
      </c>
      <c r="C328" t="s">
        <v>7328</v>
      </c>
      <c r="D328" t="s">
        <v>9863</v>
      </c>
      <c r="E328" t="s">
        <v>9879</v>
      </c>
      <c r="F328" t="s">
        <v>9865</v>
      </c>
      <c r="G328" t="s">
        <v>9880</v>
      </c>
      <c r="H328">
        <v>-2</v>
      </c>
      <c r="I328">
        <v>-0.75</v>
      </c>
      <c r="J328">
        <v>180</v>
      </c>
      <c r="L328" t="s">
        <v>7330</v>
      </c>
      <c r="M328" t="s">
        <v>7330</v>
      </c>
      <c r="N328" s="501">
        <v>536</v>
      </c>
      <c r="O328" s="501"/>
      <c r="P328" s="501">
        <v>0</v>
      </c>
      <c r="Q328" s="501">
        <v>536</v>
      </c>
      <c r="R328" t="s">
        <v>7927</v>
      </c>
      <c r="S328">
        <v>0</v>
      </c>
    </row>
    <row r="329" spans="1:19">
      <c r="A329" t="s">
        <v>9201</v>
      </c>
      <c r="B329">
        <v>103</v>
      </c>
      <c r="C329" t="s">
        <v>7328</v>
      </c>
      <c r="D329" t="s">
        <v>9863</v>
      </c>
      <c r="E329" t="s">
        <v>9881</v>
      </c>
      <c r="F329" t="s">
        <v>9865</v>
      </c>
      <c r="G329" t="s">
        <v>9880</v>
      </c>
      <c r="H329">
        <v>-2</v>
      </c>
      <c r="I329">
        <v>-1.25</v>
      </c>
      <c r="J329">
        <v>180</v>
      </c>
      <c r="L329" t="s">
        <v>7330</v>
      </c>
      <c r="M329" t="s">
        <v>7330</v>
      </c>
      <c r="N329" s="501">
        <v>930</v>
      </c>
      <c r="O329" s="501"/>
      <c r="P329" s="501">
        <v>0</v>
      </c>
      <c r="Q329" s="501">
        <v>930</v>
      </c>
      <c r="R329" t="s">
        <v>7927</v>
      </c>
      <c r="S329">
        <v>0</v>
      </c>
    </row>
    <row r="330" spans="1:19">
      <c r="A330" t="s">
        <v>9201</v>
      </c>
      <c r="B330">
        <v>103</v>
      </c>
      <c r="C330" t="s">
        <v>7328</v>
      </c>
      <c r="D330" t="s">
        <v>9863</v>
      </c>
      <c r="E330" t="s">
        <v>9882</v>
      </c>
      <c r="F330" t="s">
        <v>9865</v>
      </c>
      <c r="G330" t="s">
        <v>9880</v>
      </c>
      <c r="H330">
        <v>-2</v>
      </c>
      <c r="I330">
        <v>-1.75</v>
      </c>
      <c r="J330">
        <v>180</v>
      </c>
      <c r="L330" t="s">
        <v>7330</v>
      </c>
      <c r="M330" t="s">
        <v>7330</v>
      </c>
      <c r="N330" s="501">
        <v>348</v>
      </c>
      <c r="O330" s="501"/>
      <c r="P330" s="501">
        <v>0</v>
      </c>
      <c r="Q330" s="501">
        <v>348</v>
      </c>
      <c r="R330" t="s">
        <v>7927</v>
      </c>
      <c r="S330">
        <v>0</v>
      </c>
    </row>
    <row r="331" spans="1:19">
      <c r="A331" t="s">
        <v>9201</v>
      </c>
      <c r="B331">
        <v>103</v>
      </c>
      <c r="C331" t="s">
        <v>7328</v>
      </c>
      <c r="D331" t="s">
        <v>9863</v>
      </c>
      <c r="E331" t="s">
        <v>9883</v>
      </c>
      <c r="F331" t="s">
        <v>9865</v>
      </c>
      <c r="G331" t="s">
        <v>9884</v>
      </c>
      <c r="H331">
        <v>-2.25</v>
      </c>
      <c r="I331">
        <v>-0.75</v>
      </c>
      <c r="J331">
        <v>180</v>
      </c>
      <c r="L331" t="s">
        <v>7330</v>
      </c>
      <c r="M331" t="s">
        <v>7330</v>
      </c>
      <c r="N331" s="501">
        <v>324</v>
      </c>
      <c r="O331" s="501"/>
      <c r="P331" s="501">
        <v>0</v>
      </c>
      <c r="Q331" s="501">
        <v>324</v>
      </c>
      <c r="R331" t="s">
        <v>7927</v>
      </c>
      <c r="S331">
        <v>0</v>
      </c>
    </row>
    <row r="332" spans="1:19">
      <c r="A332" t="s">
        <v>9201</v>
      </c>
      <c r="B332">
        <v>103</v>
      </c>
      <c r="C332" t="s">
        <v>7328</v>
      </c>
      <c r="D332" t="s">
        <v>9863</v>
      </c>
      <c r="E332" t="s">
        <v>9885</v>
      </c>
      <c r="F332" t="s">
        <v>9865</v>
      </c>
      <c r="G332" t="s">
        <v>9884</v>
      </c>
      <c r="H332">
        <v>-2.25</v>
      </c>
      <c r="I332">
        <v>-1.25</v>
      </c>
      <c r="J332">
        <v>180</v>
      </c>
      <c r="L332" t="s">
        <v>7330</v>
      </c>
      <c r="M332" t="s">
        <v>7330</v>
      </c>
      <c r="N332" s="501">
        <v>1126</v>
      </c>
      <c r="O332" s="501"/>
      <c r="P332" s="501">
        <v>0</v>
      </c>
      <c r="Q332" s="501">
        <v>1126</v>
      </c>
      <c r="R332" t="s">
        <v>7927</v>
      </c>
      <c r="S332">
        <v>0</v>
      </c>
    </row>
    <row r="333" spans="1:19">
      <c r="A333" t="s">
        <v>9201</v>
      </c>
      <c r="B333">
        <v>103</v>
      </c>
      <c r="C333" t="s">
        <v>7328</v>
      </c>
      <c r="D333" t="s">
        <v>9863</v>
      </c>
      <c r="E333" t="s">
        <v>9886</v>
      </c>
      <c r="F333" t="s">
        <v>9865</v>
      </c>
      <c r="G333" t="s">
        <v>9884</v>
      </c>
      <c r="H333">
        <v>-2.25</v>
      </c>
      <c r="I333">
        <v>-1.75</v>
      </c>
      <c r="J333">
        <v>180</v>
      </c>
      <c r="L333" t="s">
        <v>7330</v>
      </c>
      <c r="M333" t="s">
        <v>7330</v>
      </c>
      <c r="N333" s="501">
        <v>276</v>
      </c>
      <c r="O333" s="501"/>
      <c r="P333" s="501">
        <v>0</v>
      </c>
      <c r="Q333" s="501">
        <v>276</v>
      </c>
      <c r="R333" t="s">
        <v>7927</v>
      </c>
      <c r="S333">
        <v>0</v>
      </c>
    </row>
    <row r="334" spans="1:19">
      <c r="A334" t="s">
        <v>9201</v>
      </c>
      <c r="B334">
        <v>103</v>
      </c>
      <c r="C334" t="s">
        <v>7328</v>
      </c>
      <c r="D334" t="s">
        <v>9863</v>
      </c>
      <c r="E334" t="s">
        <v>9887</v>
      </c>
      <c r="F334" t="s">
        <v>9865</v>
      </c>
      <c r="G334" t="s">
        <v>9888</v>
      </c>
      <c r="H334">
        <v>-2.5</v>
      </c>
      <c r="I334">
        <v>-0.75</v>
      </c>
      <c r="J334">
        <v>180</v>
      </c>
      <c r="L334" t="s">
        <v>7330</v>
      </c>
      <c r="M334" t="s">
        <v>7330</v>
      </c>
      <c r="N334" s="501">
        <v>404</v>
      </c>
      <c r="P334">
        <v>0</v>
      </c>
      <c r="Q334" s="501">
        <v>404</v>
      </c>
      <c r="R334" t="s">
        <v>7927</v>
      </c>
      <c r="S334">
        <v>0</v>
      </c>
    </row>
    <row r="335" spans="1:19">
      <c r="A335" t="s">
        <v>9201</v>
      </c>
      <c r="B335">
        <v>103</v>
      </c>
      <c r="C335" t="s">
        <v>7328</v>
      </c>
      <c r="D335" t="s">
        <v>9863</v>
      </c>
      <c r="E335" t="s">
        <v>9889</v>
      </c>
      <c r="F335" t="s">
        <v>9865</v>
      </c>
      <c r="G335" t="s">
        <v>9888</v>
      </c>
      <c r="H335">
        <v>-2.5</v>
      </c>
      <c r="I335">
        <v>-1.25</v>
      </c>
      <c r="J335">
        <v>180</v>
      </c>
      <c r="L335" t="s">
        <v>7330</v>
      </c>
      <c r="M335" t="s">
        <v>7330</v>
      </c>
      <c r="N335" s="501">
        <v>720</v>
      </c>
      <c r="P335">
        <v>0</v>
      </c>
      <c r="Q335" s="501">
        <v>720</v>
      </c>
      <c r="R335" t="s">
        <v>7927</v>
      </c>
      <c r="S335">
        <v>0</v>
      </c>
    </row>
    <row r="336" spans="1:19">
      <c r="A336" t="s">
        <v>9201</v>
      </c>
      <c r="B336">
        <v>103</v>
      </c>
      <c r="C336" t="s">
        <v>7328</v>
      </c>
      <c r="D336" t="s">
        <v>9863</v>
      </c>
      <c r="E336" t="s">
        <v>9890</v>
      </c>
      <c r="F336" t="s">
        <v>9865</v>
      </c>
      <c r="G336" t="s">
        <v>9888</v>
      </c>
      <c r="H336">
        <v>-2.5</v>
      </c>
      <c r="I336">
        <v>-1.75</v>
      </c>
      <c r="J336">
        <v>180</v>
      </c>
      <c r="L336" t="s">
        <v>7330</v>
      </c>
      <c r="M336" t="s">
        <v>7330</v>
      </c>
      <c r="N336" s="501">
        <v>40</v>
      </c>
      <c r="P336">
        <v>0</v>
      </c>
      <c r="Q336" s="501">
        <v>40</v>
      </c>
      <c r="R336" t="s">
        <v>7927</v>
      </c>
      <c r="S336">
        <v>0</v>
      </c>
    </row>
    <row r="337" spans="1:19">
      <c r="A337" t="s">
        <v>9201</v>
      </c>
      <c r="B337">
        <v>103</v>
      </c>
      <c r="C337" t="s">
        <v>7328</v>
      </c>
      <c r="D337" t="s">
        <v>9863</v>
      </c>
      <c r="E337" t="s">
        <v>9891</v>
      </c>
      <c r="F337" t="s">
        <v>9865</v>
      </c>
      <c r="G337" t="s">
        <v>9892</v>
      </c>
      <c r="H337">
        <v>-2.75</v>
      </c>
      <c r="I337">
        <v>-0.75</v>
      </c>
      <c r="J337">
        <v>180</v>
      </c>
      <c r="L337" t="s">
        <v>7330</v>
      </c>
      <c r="M337" t="s">
        <v>7330</v>
      </c>
      <c r="N337" s="501">
        <v>278</v>
      </c>
      <c r="P337">
        <v>0</v>
      </c>
      <c r="Q337" s="501">
        <v>278</v>
      </c>
      <c r="R337" t="s">
        <v>7927</v>
      </c>
      <c r="S337">
        <v>0</v>
      </c>
    </row>
    <row r="338" spans="1:19">
      <c r="A338" t="s">
        <v>9201</v>
      </c>
      <c r="B338">
        <v>103</v>
      </c>
      <c r="C338" t="s">
        <v>7328</v>
      </c>
      <c r="D338" t="s">
        <v>9863</v>
      </c>
      <c r="E338" t="s">
        <v>9893</v>
      </c>
      <c r="F338" t="s">
        <v>9865</v>
      </c>
      <c r="G338" t="s">
        <v>9892</v>
      </c>
      <c r="H338">
        <v>-2.75</v>
      </c>
      <c r="I338">
        <v>-1.25</v>
      </c>
      <c r="J338">
        <v>180</v>
      </c>
      <c r="L338" t="s">
        <v>7330</v>
      </c>
      <c r="M338" t="s">
        <v>7330</v>
      </c>
      <c r="N338" s="501">
        <v>1126</v>
      </c>
      <c r="P338">
        <v>0</v>
      </c>
      <c r="Q338" s="501">
        <v>1126</v>
      </c>
      <c r="R338" t="s">
        <v>7927</v>
      </c>
      <c r="S338">
        <v>0</v>
      </c>
    </row>
    <row r="339" spans="1:19">
      <c r="A339" t="s">
        <v>9201</v>
      </c>
      <c r="B339">
        <v>103</v>
      </c>
      <c r="C339" t="s">
        <v>7328</v>
      </c>
      <c r="D339" t="s">
        <v>9863</v>
      </c>
      <c r="E339" t="s">
        <v>9894</v>
      </c>
      <c r="F339" t="s">
        <v>9865</v>
      </c>
      <c r="G339" t="s">
        <v>9892</v>
      </c>
      <c r="H339">
        <v>-2.75</v>
      </c>
      <c r="I339">
        <v>-1.75</v>
      </c>
      <c r="J339">
        <v>180</v>
      </c>
      <c r="L339" t="s">
        <v>7330</v>
      </c>
      <c r="M339" t="s">
        <v>7330</v>
      </c>
      <c r="N339" s="501">
        <v>590</v>
      </c>
      <c r="P339">
        <v>0</v>
      </c>
      <c r="Q339" s="501">
        <v>590</v>
      </c>
      <c r="R339" t="s">
        <v>7927</v>
      </c>
      <c r="S339">
        <v>0</v>
      </c>
    </row>
    <row r="340" spans="1:19">
      <c r="A340" t="s">
        <v>9201</v>
      </c>
      <c r="B340">
        <v>103</v>
      </c>
      <c r="C340" t="s">
        <v>7328</v>
      </c>
      <c r="D340" t="s">
        <v>9863</v>
      </c>
      <c r="E340" t="s">
        <v>9895</v>
      </c>
      <c r="F340" t="s">
        <v>9865</v>
      </c>
      <c r="G340" t="s">
        <v>9896</v>
      </c>
      <c r="H340">
        <v>-3</v>
      </c>
      <c r="I340">
        <v>-0.75</v>
      </c>
      <c r="J340">
        <v>180</v>
      </c>
      <c r="L340" t="s">
        <v>7330</v>
      </c>
      <c r="M340" t="s">
        <v>7330</v>
      </c>
      <c r="N340" s="501">
        <v>304</v>
      </c>
      <c r="P340">
        <v>0</v>
      </c>
      <c r="Q340" s="501">
        <v>304</v>
      </c>
      <c r="R340" t="s">
        <v>7927</v>
      </c>
      <c r="S340">
        <v>0</v>
      </c>
    </row>
    <row r="341" spans="1:19">
      <c r="A341" t="s">
        <v>9201</v>
      </c>
      <c r="B341">
        <v>103</v>
      </c>
      <c r="C341" t="s">
        <v>7328</v>
      </c>
      <c r="D341" t="s">
        <v>9863</v>
      </c>
      <c r="E341" t="s">
        <v>9897</v>
      </c>
      <c r="F341" t="s">
        <v>9865</v>
      </c>
      <c r="G341" t="s">
        <v>9896</v>
      </c>
      <c r="H341">
        <v>-3</v>
      </c>
      <c r="I341">
        <v>-1.25</v>
      </c>
      <c r="J341">
        <v>180</v>
      </c>
      <c r="L341" t="s">
        <v>7330</v>
      </c>
      <c r="M341" t="s">
        <v>7330</v>
      </c>
      <c r="N341" s="501">
        <v>488</v>
      </c>
      <c r="P341">
        <v>0</v>
      </c>
      <c r="Q341" s="501">
        <v>488</v>
      </c>
      <c r="R341" t="s">
        <v>7927</v>
      </c>
      <c r="S341">
        <v>0</v>
      </c>
    </row>
    <row r="342" spans="1:19">
      <c r="A342" t="s">
        <v>9201</v>
      </c>
      <c r="B342">
        <v>103</v>
      </c>
      <c r="C342" t="s">
        <v>7328</v>
      </c>
      <c r="D342" t="s">
        <v>9863</v>
      </c>
      <c r="E342" t="s">
        <v>9898</v>
      </c>
      <c r="F342" t="s">
        <v>9865</v>
      </c>
      <c r="G342" t="s">
        <v>9896</v>
      </c>
      <c r="H342">
        <v>-3</v>
      </c>
      <c r="I342">
        <v>-1.75</v>
      </c>
      <c r="J342">
        <v>180</v>
      </c>
      <c r="L342" t="s">
        <v>7330</v>
      </c>
      <c r="M342" t="s">
        <v>7330</v>
      </c>
      <c r="N342" s="501">
        <v>120</v>
      </c>
      <c r="P342">
        <v>0</v>
      </c>
      <c r="Q342" s="501">
        <v>120</v>
      </c>
      <c r="R342" t="s">
        <v>7927</v>
      </c>
      <c r="S342">
        <v>0</v>
      </c>
    </row>
    <row r="343" spans="1:19">
      <c r="A343" t="s">
        <v>9201</v>
      </c>
      <c r="B343">
        <v>103</v>
      </c>
      <c r="C343" t="s">
        <v>7328</v>
      </c>
      <c r="D343" t="s">
        <v>9863</v>
      </c>
      <c r="E343" t="s">
        <v>9899</v>
      </c>
      <c r="F343" t="s">
        <v>9865</v>
      </c>
      <c r="G343" t="s">
        <v>9900</v>
      </c>
      <c r="H343">
        <v>-3.25</v>
      </c>
      <c r="I343">
        <v>-1.25</v>
      </c>
      <c r="J343">
        <v>180</v>
      </c>
      <c r="L343" t="s">
        <v>7330</v>
      </c>
      <c r="M343" t="s">
        <v>7330</v>
      </c>
      <c r="N343" s="501">
        <v>932</v>
      </c>
      <c r="P343">
        <v>0</v>
      </c>
      <c r="Q343" s="501">
        <v>932</v>
      </c>
      <c r="R343" t="s">
        <v>7927</v>
      </c>
      <c r="S343">
        <v>0</v>
      </c>
    </row>
    <row r="344" spans="1:19">
      <c r="A344" t="s">
        <v>9201</v>
      </c>
      <c r="B344">
        <v>103</v>
      </c>
      <c r="C344" t="s">
        <v>7328</v>
      </c>
      <c r="D344" t="s">
        <v>9863</v>
      </c>
      <c r="E344" t="s">
        <v>9901</v>
      </c>
      <c r="F344" t="s">
        <v>9865</v>
      </c>
      <c r="G344" t="s">
        <v>9900</v>
      </c>
      <c r="H344">
        <v>-3.25</v>
      </c>
      <c r="I344">
        <v>-1.75</v>
      </c>
      <c r="J344">
        <v>180</v>
      </c>
      <c r="L344" t="s">
        <v>7330</v>
      </c>
      <c r="M344" t="s">
        <v>7330</v>
      </c>
      <c r="N344" s="501">
        <v>200</v>
      </c>
      <c r="P344">
        <v>0</v>
      </c>
      <c r="Q344" s="501">
        <v>200</v>
      </c>
      <c r="R344" t="s">
        <v>7927</v>
      </c>
      <c r="S344">
        <v>0</v>
      </c>
    </row>
    <row r="345" spans="1:19">
      <c r="A345" t="s">
        <v>9201</v>
      </c>
      <c r="B345">
        <v>103</v>
      </c>
      <c r="C345" t="s">
        <v>7328</v>
      </c>
      <c r="D345" t="s">
        <v>9863</v>
      </c>
      <c r="E345" t="s">
        <v>9902</v>
      </c>
      <c r="F345" t="s">
        <v>9865</v>
      </c>
      <c r="G345" t="s">
        <v>9903</v>
      </c>
      <c r="H345">
        <v>-3.5</v>
      </c>
      <c r="I345">
        <v>-1.25</v>
      </c>
      <c r="J345">
        <v>180</v>
      </c>
      <c r="L345" t="s">
        <v>7330</v>
      </c>
      <c r="M345" t="s">
        <v>7330</v>
      </c>
      <c r="N345" s="501">
        <v>1126</v>
      </c>
      <c r="P345">
        <v>0</v>
      </c>
      <c r="Q345" s="501">
        <v>1126</v>
      </c>
      <c r="R345" t="s">
        <v>7927</v>
      </c>
      <c r="S345">
        <v>0</v>
      </c>
    </row>
    <row r="346" spans="1:19">
      <c r="A346" t="s">
        <v>9201</v>
      </c>
      <c r="B346">
        <v>103</v>
      </c>
      <c r="C346" t="s">
        <v>7328</v>
      </c>
      <c r="D346" t="s">
        <v>9863</v>
      </c>
      <c r="E346" t="s">
        <v>9904</v>
      </c>
      <c r="F346" t="s">
        <v>9865</v>
      </c>
      <c r="G346" t="s">
        <v>9903</v>
      </c>
      <c r="H346">
        <v>-3.5</v>
      </c>
      <c r="I346">
        <v>-1.75</v>
      </c>
      <c r="J346">
        <v>180</v>
      </c>
      <c r="L346" t="s">
        <v>7330</v>
      </c>
      <c r="M346" t="s">
        <v>7330</v>
      </c>
      <c r="N346" s="501">
        <v>446</v>
      </c>
      <c r="O346" s="501"/>
      <c r="P346">
        <v>0</v>
      </c>
      <c r="Q346" s="501">
        <v>446</v>
      </c>
      <c r="R346" t="s">
        <v>7927</v>
      </c>
      <c r="S346">
        <v>0</v>
      </c>
    </row>
    <row r="347" spans="1:19">
      <c r="A347" t="s">
        <v>9201</v>
      </c>
      <c r="B347">
        <v>103</v>
      </c>
      <c r="C347" t="s">
        <v>7328</v>
      </c>
      <c r="D347" t="s">
        <v>9863</v>
      </c>
      <c r="E347" t="s">
        <v>9905</v>
      </c>
      <c r="F347" t="s">
        <v>9865</v>
      </c>
      <c r="G347" t="s">
        <v>9906</v>
      </c>
      <c r="H347">
        <v>-3.75</v>
      </c>
      <c r="I347">
        <v>-1.25</v>
      </c>
      <c r="J347">
        <v>180</v>
      </c>
      <c r="L347" t="s">
        <v>7330</v>
      </c>
      <c r="M347" t="s">
        <v>7330</v>
      </c>
      <c r="N347" s="501">
        <v>1126</v>
      </c>
      <c r="P347">
        <v>0</v>
      </c>
      <c r="Q347" s="501">
        <v>1126</v>
      </c>
      <c r="R347" t="s">
        <v>7927</v>
      </c>
      <c r="S347">
        <v>0</v>
      </c>
    </row>
    <row r="348" spans="1:19">
      <c r="A348" t="s">
        <v>9201</v>
      </c>
      <c r="B348">
        <v>103</v>
      </c>
      <c r="C348" t="s">
        <v>7328</v>
      </c>
      <c r="D348" t="s">
        <v>9863</v>
      </c>
      <c r="E348" t="s">
        <v>9907</v>
      </c>
      <c r="F348" t="s">
        <v>9865</v>
      </c>
      <c r="G348" t="s">
        <v>9906</v>
      </c>
      <c r="H348">
        <v>-3.75</v>
      </c>
      <c r="I348">
        <v>-1.75</v>
      </c>
      <c r="J348">
        <v>180</v>
      </c>
      <c r="L348" t="s">
        <v>7330</v>
      </c>
      <c r="M348" t="s">
        <v>7330</v>
      </c>
      <c r="N348" s="501">
        <v>48</v>
      </c>
      <c r="O348" s="501"/>
      <c r="P348">
        <v>0</v>
      </c>
      <c r="Q348" s="501">
        <v>48</v>
      </c>
      <c r="R348" t="s">
        <v>7927</v>
      </c>
      <c r="S348">
        <v>0</v>
      </c>
    </row>
    <row r="349" spans="1:19">
      <c r="A349" t="s">
        <v>9201</v>
      </c>
      <c r="B349">
        <v>103</v>
      </c>
      <c r="C349" t="s">
        <v>7328</v>
      </c>
      <c r="D349" t="s">
        <v>9863</v>
      </c>
      <c r="E349" t="s">
        <v>9908</v>
      </c>
      <c r="F349" t="s">
        <v>9865</v>
      </c>
      <c r="G349" t="s">
        <v>9909</v>
      </c>
      <c r="H349">
        <v>-4</v>
      </c>
      <c r="I349">
        <v>-1.75</v>
      </c>
      <c r="J349">
        <v>180</v>
      </c>
      <c r="L349" t="s">
        <v>7330</v>
      </c>
      <c r="M349" t="s">
        <v>7330</v>
      </c>
      <c r="N349" s="501">
        <v>492</v>
      </c>
      <c r="O349" s="501"/>
      <c r="P349">
        <v>0</v>
      </c>
      <c r="Q349" s="501">
        <v>492</v>
      </c>
      <c r="R349" t="s">
        <v>7927</v>
      </c>
      <c r="S349">
        <v>0</v>
      </c>
    </row>
    <row r="350" spans="1:19">
      <c r="A350" t="s">
        <v>9201</v>
      </c>
      <c r="B350">
        <v>103</v>
      </c>
      <c r="C350" t="s">
        <v>7328</v>
      </c>
      <c r="D350" t="s">
        <v>9863</v>
      </c>
      <c r="E350" t="s">
        <v>9910</v>
      </c>
      <c r="F350" t="s">
        <v>9865</v>
      </c>
      <c r="G350" t="s">
        <v>9911</v>
      </c>
      <c r="H350">
        <v>-4.25</v>
      </c>
      <c r="I350">
        <v>-1.25</v>
      </c>
      <c r="J350">
        <v>180</v>
      </c>
      <c r="L350" t="s">
        <v>7330</v>
      </c>
      <c r="M350" t="s">
        <v>7330</v>
      </c>
      <c r="N350" s="501">
        <v>98</v>
      </c>
      <c r="O350" s="501"/>
      <c r="P350">
        <v>0</v>
      </c>
      <c r="Q350" s="501">
        <v>98</v>
      </c>
      <c r="R350" t="s">
        <v>7927</v>
      </c>
      <c r="S350">
        <v>0</v>
      </c>
    </row>
    <row r="351" spans="1:19">
      <c r="A351" t="s">
        <v>9201</v>
      </c>
      <c r="B351">
        <v>103</v>
      </c>
      <c r="C351" t="s">
        <v>7328</v>
      </c>
      <c r="D351" t="s">
        <v>9863</v>
      </c>
      <c r="E351" t="s">
        <v>9912</v>
      </c>
      <c r="F351" t="s">
        <v>9865</v>
      </c>
      <c r="G351" t="s">
        <v>9911</v>
      </c>
      <c r="H351">
        <v>-4.25</v>
      </c>
      <c r="I351">
        <v>-1.75</v>
      </c>
      <c r="J351">
        <v>180</v>
      </c>
      <c r="L351" t="s">
        <v>7330</v>
      </c>
      <c r="M351" t="s">
        <v>7330</v>
      </c>
      <c r="N351" s="501">
        <v>492</v>
      </c>
      <c r="P351">
        <v>0</v>
      </c>
      <c r="Q351" s="501">
        <v>492</v>
      </c>
      <c r="R351" t="s">
        <v>7927</v>
      </c>
      <c r="S351">
        <v>0</v>
      </c>
    </row>
    <row r="352" spans="1:19">
      <c r="A352" t="s">
        <v>9201</v>
      </c>
      <c r="B352">
        <v>103</v>
      </c>
      <c r="C352" t="s">
        <v>7328</v>
      </c>
      <c r="D352" t="s">
        <v>9863</v>
      </c>
      <c r="E352" t="s">
        <v>9913</v>
      </c>
      <c r="F352" t="s">
        <v>9865</v>
      </c>
      <c r="G352" t="s">
        <v>9914</v>
      </c>
      <c r="H352">
        <v>-4.5</v>
      </c>
      <c r="I352">
        <v>-0.75</v>
      </c>
      <c r="J352">
        <v>180</v>
      </c>
      <c r="L352" t="s">
        <v>7330</v>
      </c>
      <c r="M352" t="s">
        <v>7330</v>
      </c>
      <c r="N352" s="501">
        <v>1122</v>
      </c>
      <c r="P352">
        <v>0</v>
      </c>
      <c r="Q352" s="501">
        <v>1122</v>
      </c>
      <c r="R352" t="s">
        <v>7927</v>
      </c>
      <c r="S352">
        <v>0</v>
      </c>
    </row>
    <row r="353" spans="1:19">
      <c r="A353" t="s">
        <v>9201</v>
      </c>
      <c r="B353">
        <v>103</v>
      </c>
      <c r="C353" t="s">
        <v>7328</v>
      </c>
      <c r="D353" t="s">
        <v>9863</v>
      </c>
      <c r="E353" t="s">
        <v>9915</v>
      </c>
      <c r="F353" t="s">
        <v>9865</v>
      </c>
      <c r="G353" t="s">
        <v>9914</v>
      </c>
      <c r="H353">
        <v>-4.5</v>
      </c>
      <c r="I353">
        <v>-1.25</v>
      </c>
      <c r="J353">
        <v>180</v>
      </c>
      <c r="L353" t="s">
        <v>7330</v>
      </c>
      <c r="M353" t="s">
        <v>7330</v>
      </c>
      <c r="N353" s="501">
        <v>1126</v>
      </c>
      <c r="P353">
        <v>0</v>
      </c>
      <c r="Q353" s="501">
        <v>1126</v>
      </c>
      <c r="R353" t="s">
        <v>7927</v>
      </c>
      <c r="S353">
        <v>0</v>
      </c>
    </row>
    <row r="354" spans="1:19">
      <c r="A354" t="s">
        <v>9201</v>
      </c>
      <c r="B354">
        <v>103</v>
      </c>
      <c r="C354" t="s">
        <v>7328</v>
      </c>
      <c r="D354" t="s">
        <v>9863</v>
      </c>
      <c r="E354" t="s">
        <v>9916</v>
      </c>
      <c r="F354" t="s">
        <v>9865</v>
      </c>
      <c r="G354" t="s">
        <v>9914</v>
      </c>
      <c r="H354">
        <v>-4.5</v>
      </c>
      <c r="I354">
        <v>-1.75</v>
      </c>
      <c r="J354">
        <v>180</v>
      </c>
      <c r="L354" t="s">
        <v>7330</v>
      </c>
      <c r="M354" t="s">
        <v>7330</v>
      </c>
      <c r="N354" s="501">
        <v>548</v>
      </c>
      <c r="P354">
        <v>0</v>
      </c>
      <c r="Q354" s="501">
        <v>548</v>
      </c>
      <c r="R354" t="s">
        <v>7927</v>
      </c>
      <c r="S354">
        <v>0</v>
      </c>
    </row>
    <row r="355" spans="1:19">
      <c r="A355" t="s">
        <v>9201</v>
      </c>
      <c r="B355">
        <v>103</v>
      </c>
      <c r="C355" t="s">
        <v>7328</v>
      </c>
      <c r="D355" t="s">
        <v>9863</v>
      </c>
      <c r="E355" t="s">
        <v>9917</v>
      </c>
      <c r="F355" t="s">
        <v>9865</v>
      </c>
      <c r="G355" t="s">
        <v>9918</v>
      </c>
      <c r="H355">
        <v>-4.75</v>
      </c>
      <c r="I355">
        <v>-0.75</v>
      </c>
      <c r="J355">
        <v>180</v>
      </c>
      <c r="L355" t="s">
        <v>7330</v>
      </c>
      <c r="M355" t="s">
        <v>7330</v>
      </c>
      <c r="N355" s="501">
        <v>1126</v>
      </c>
      <c r="O355" s="501"/>
      <c r="P355" s="501">
        <v>0</v>
      </c>
      <c r="Q355" s="501">
        <v>1126</v>
      </c>
      <c r="R355" t="s">
        <v>7927</v>
      </c>
      <c r="S355">
        <v>0</v>
      </c>
    </row>
    <row r="356" spans="1:19">
      <c r="A356" t="s">
        <v>9201</v>
      </c>
      <c r="B356">
        <v>103</v>
      </c>
      <c r="C356" t="s">
        <v>7328</v>
      </c>
      <c r="D356" t="s">
        <v>9863</v>
      </c>
      <c r="E356" t="s">
        <v>9919</v>
      </c>
      <c r="F356" t="s">
        <v>9865</v>
      </c>
      <c r="G356" t="s">
        <v>9918</v>
      </c>
      <c r="H356">
        <v>-4.75</v>
      </c>
      <c r="I356">
        <v>-1.25</v>
      </c>
      <c r="J356">
        <v>180</v>
      </c>
      <c r="L356" t="s">
        <v>7330</v>
      </c>
      <c r="M356" t="s">
        <v>7330</v>
      </c>
      <c r="N356" s="501">
        <v>286</v>
      </c>
      <c r="P356">
        <v>0</v>
      </c>
      <c r="Q356" s="501">
        <v>286</v>
      </c>
      <c r="R356" t="s">
        <v>7927</v>
      </c>
      <c r="S356">
        <v>0</v>
      </c>
    </row>
    <row r="357" spans="1:19">
      <c r="A357" t="s">
        <v>9201</v>
      </c>
      <c r="B357">
        <v>103</v>
      </c>
      <c r="C357" t="s">
        <v>7328</v>
      </c>
      <c r="D357" t="s">
        <v>9863</v>
      </c>
      <c r="E357" t="s">
        <v>9920</v>
      </c>
      <c r="F357" t="s">
        <v>9865</v>
      </c>
      <c r="G357" t="s">
        <v>9918</v>
      </c>
      <c r="H357">
        <v>-4.75</v>
      </c>
      <c r="I357">
        <v>-1.75</v>
      </c>
      <c r="J357">
        <v>180</v>
      </c>
      <c r="L357" t="s">
        <v>7330</v>
      </c>
      <c r="M357" t="s">
        <v>7330</v>
      </c>
      <c r="N357" s="501">
        <v>1044</v>
      </c>
      <c r="O357" s="501"/>
      <c r="P357" s="501">
        <v>0</v>
      </c>
      <c r="Q357" s="501">
        <v>1044</v>
      </c>
      <c r="R357" t="s">
        <v>7927</v>
      </c>
      <c r="S357">
        <v>0</v>
      </c>
    </row>
    <row r="358" spans="1:19">
      <c r="A358" t="s">
        <v>9201</v>
      </c>
      <c r="B358">
        <v>103</v>
      </c>
      <c r="C358" t="s">
        <v>7328</v>
      </c>
      <c r="D358" t="s">
        <v>9863</v>
      </c>
      <c r="E358" t="s">
        <v>9921</v>
      </c>
      <c r="F358" t="s">
        <v>9865</v>
      </c>
      <c r="G358" t="s">
        <v>9922</v>
      </c>
      <c r="H358">
        <v>-5</v>
      </c>
      <c r="I358">
        <v>-0.75</v>
      </c>
      <c r="J358">
        <v>180</v>
      </c>
      <c r="L358" t="s">
        <v>7330</v>
      </c>
      <c r="M358" t="s">
        <v>7330</v>
      </c>
      <c r="N358" s="501">
        <v>412</v>
      </c>
      <c r="O358" s="501"/>
      <c r="P358" s="501">
        <v>0</v>
      </c>
      <c r="Q358" s="501">
        <v>412</v>
      </c>
      <c r="R358" t="s">
        <v>7927</v>
      </c>
      <c r="S358">
        <v>0</v>
      </c>
    </row>
    <row r="359" spans="1:19">
      <c r="A359" t="s">
        <v>9201</v>
      </c>
      <c r="B359">
        <v>103</v>
      </c>
      <c r="C359" t="s">
        <v>7328</v>
      </c>
      <c r="D359" t="s">
        <v>9863</v>
      </c>
      <c r="E359" t="s">
        <v>9923</v>
      </c>
      <c r="F359" t="s">
        <v>9865</v>
      </c>
      <c r="G359" t="s">
        <v>9922</v>
      </c>
      <c r="H359">
        <v>-5</v>
      </c>
      <c r="I359">
        <v>-1.25</v>
      </c>
      <c r="J359">
        <v>180</v>
      </c>
      <c r="L359" t="s">
        <v>7330</v>
      </c>
      <c r="M359" t="s">
        <v>7330</v>
      </c>
      <c r="N359" s="501">
        <v>244</v>
      </c>
      <c r="P359">
        <v>0</v>
      </c>
      <c r="Q359" s="501">
        <v>244</v>
      </c>
      <c r="R359" t="s">
        <v>7927</v>
      </c>
      <c r="S359">
        <v>0</v>
      </c>
    </row>
    <row r="360" spans="1:19">
      <c r="A360" t="s">
        <v>9201</v>
      </c>
      <c r="B360">
        <v>103</v>
      </c>
      <c r="C360" t="s">
        <v>7328</v>
      </c>
      <c r="D360" t="s">
        <v>9863</v>
      </c>
      <c r="E360" t="s">
        <v>9924</v>
      </c>
      <c r="F360" t="s">
        <v>9865</v>
      </c>
      <c r="G360" t="s">
        <v>9922</v>
      </c>
      <c r="H360">
        <v>-5</v>
      </c>
      <c r="I360">
        <v>-1.75</v>
      </c>
      <c r="J360">
        <v>180</v>
      </c>
      <c r="L360" t="s">
        <v>7330</v>
      </c>
      <c r="M360" t="s">
        <v>7330</v>
      </c>
      <c r="N360" s="501">
        <v>966</v>
      </c>
      <c r="P360">
        <v>0</v>
      </c>
      <c r="Q360" s="501">
        <v>966</v>
      </c>
      <c r="R360" t="s">
        <v>7927</v>
      </c>
      <c r="S360">
        <v>0</v>
      </c>
    </row>
    <row r="361" spans="1:19">
      <c r="A361" t="s">
        <v>9201</v>
      </c>
      <c r="B361">
        <v>103</v>
      </c>
      <c r="C361" t="s">
        <v>7328</v>
      </c>
      <c r="D361" t="s">
        <v>9863</v>
      </c>
      <c r="E361" t="s">
        <v>9925</v>
      </c>
      <c r="F361" t="s">
        <v>9865</v>
      </c>
      <c r="G361" t="s">
        <v>9926</v>
      </c>
      <c r="H361">
        <v>-5.5</v>
      </c>
      <c r="I361">
        <v>-0.75</v>
      </c>
      <c r="J361">
        <v>180</v>
      </c>
      <c r="L361" t="s">
        <v>7330</v>
      </c>
      <c r="M361" t="s">
        <v>7330</v>
      </c>
      <c r="N361" s="501">
        <v>640</v>
      </c>
      <c r="O361" s="501"/>
      <c r="P361">
        <v>0</v>
      </c>
      <c r="Q361" s="501">
        <v>640</v>
      </c>
      <c r="R361" t="s">
        <v>7927</v>
      </c>
      <c r="S361">
        <v>0</v>
      </c>
    </row>
    <row r="362" spans="1:19">
      <c r="A362" t="s">
        <v>9201</v>
      </c>
      <c r="B362">
        <v>103</v>
      </c>
      <c r="C362" t="s">
        <v>7328</v>
      </c>
      <c r="D362" t="s">
        <v>9863</v>
      </c>
      <c r="E362" t="s">
        <v>9927</v>
      </c>
      <c r="F362" t="s">
        <v>9865</v>
      </c>
      <c r="G362" t="s">
        <v>9926</v>
      </c>
      <c r="H362">
        <v>-5.5</v>
      </c>
      <c r="I362">
        <v>-1.25</v>
      </c>
      <c r="J362">
        <v>180</v>
      </c>
      <c r="L362" t="s">
        <v>7330</v>
      </c>
      <c r="M362" t="s">
        <v>7330</v>
      </c>
      <c r="N362" s="501">
        <v>106</v>
      </c>
      <c r="P362">
        <v>0</v>
      </c>
      <c r="Q362" s="501">
        <v>106</v>
      </c>
      <c r="R362" t="s">
        <v>7927</v>
      </c>
      <c r="S362">
        <v>0</v>
      </c>
    </row>
    <row r="363" spans="1:19">
      <c r="A363" t="s">
        <v>9201</v>
      </c>
      <c r="B363">
        <v>103</v>
      </c>
      <c r="C363" t="s">
        <v>7328</v>
      </c>
      <c r="D363" t="s">
        <v>9863</v>
      </c>
      <c r="E363" t="s">
        <v>9928</v>
      </c>
      <c r="F363" t="s">
        <v>9865</v>
      </c>
      <c r="G363" t="s">
        <v>9926</v>
      </c>
      <c r="H363">
        <v>-5.5</v>
      </c>
      <c r="I363">
        <v>-1.75</v>
      </c>
      <c r="J363">
        <v>180</v>
      </c>
      <c r="L363" t="s">
        <v>7330</v>
      </c>
      <c r="M363" t="s">
        <v>7330</v>
      </c>
      <c r="N363" s="501">
        <v>128</v>
      </c>
      <c r="P363">
        <v>0</v>
      </c>
      <c r="Q363" s="501">
        <v>128</v>
      </c>
      <c r="R363" t="s">
        <v>7927</v>
      </c>
      <c r="S363">
        <v>0</v>
      </c>
    </row>
    <row r="364" spans="1:19">
      <c r="A364" t="s">
        <v>9201</v>
      </c>
      <c r="B364">
        <v>103</v>
      </c>
      <c r="C364" t="s">
        <v>7328</v>
      </c>
      <c r="D364" t="s">
        <v>9863</v>
      </c>
      <c r="E364" t="s">
        <v>9929</v>
      </c>
      <c r="F364" t="s">
        <v>9865</v>
      </c>
      <c r="G364" t="s">
        <v>9855</v>
      </c>
      <c r="H364">
        <v>-6</v>
      </c>
      <c r="I364">
        <v>-0.75</v>
      </c>
      <c r="J364">
        <v>180</v>
      </c>
      <c r="L364" t="s">
        <v>7330</v>
      </c>
      <c r="M364" t="s">
        <v>7330</v>
      </c>
      <c r="N364" s="501">
        <v>26</v>
      </c>
      <c r="P364">
        <v>0</v>
      </c>
      <c r="Q364" s="501">
        <v>26</v>
      </c>
      <c r="R364" t="s">
        <v>7927</v>
      </c>
      <c r="S364">
        <v>0</v>
      </c>
    </row>
    <row r="365" spans="1:19">
      <c r="A365" t="s">
        <v>9201</v>
      </c>
      <c r="B365">
        <v>103</v>
      </c>
      <c r="C365" t="s">
        <v>7328</v>
      </c>
      <c r="D365" t="s">
        <v>9863</v>
      </c>
      <c r="E365" t="s">
        <v>9930</v>
      </c>
      <c r="F365" t="s">
        <v>9865</v>
      </c>
      <c r="G365" t="s">
        <v>9855</v>
      </c>
      <c r="H365">
        <v>-6</v>
      </c>
      <c r="I365">
        <v>-1.25</v>
      </c>
      <c r="J365">
        <v>180</v>
      </c>
      <c r="L365" t="s">
        <v>7330</v>
      </c>
      <c r="M365" t="s">
        <v>7330</v>
      </c>
      <c r="N365" s="501">
        <v>398</v>
      </c>
      <c r="P365">
        <v>0</v>
      </c>
      <c r="Q365" s="501">
        <v>398</v>
      </c>
      <c r="R365" t="s">
        <v>7927</v>
      </c>
      <c r="S365">
        <v>0</v>
      </c>
    </row>
    <row r="366" spans="1:19">
      <c r="A366" t="s">
        <v>9201</v>
      </c>
      <c r="B366">
        <v>103</v>
      </c>
      <c r="C366" t="s">
        <v>7328</v>
      </c>
      <c r="D366" t="s">
        <v>9863</v>
      </c>
      <c r="E366" t="s">
        <v>9931</v>
      </c>
      <c r="F366" t="s">
        <v>9865</v>
      </c>
      <c r="G366" t="s">
        <v>9855</v>
      </c>
      <c r="H366">
        <v>-6</v>
      </c>
      <c r="I366">
        <v>-1.75</v>
      </c>
      <c r="J366">
        <v>180</v>
      </c>
      <c r="L366" t="s">
        <v>7330</v>
      </c>
      <c r="M366" t="s">
        <v>7330</v>
      </c>
      <c r="N366" s="501">
        <v>152</v>
      </c>
      <c r="P366">
        <v>0</v>
      </c>
      <c r="Q366" s="501">
        <v>152</v>
      </c>
      <c r="R366" t="s">
        <v>7927</v>
      </c>
      <c r="S366">
        <v>0</v>
      </c>
    </row>
    <row r="367" spans="1:19">
      <c r="A367" t="s">
        <v>9201</v>
      </c>
      <c r="B367">
        <v>103</v>
      </c>
      <c r="C367" t="s">
        <v>7328</v>
      </c>
      <c r="D367" t="s">
        <v>9863</v>
      </c>
      <c r="E367" t="s">
        <v>9932</v>
      </c>
      <c r="F367" t="s">
        <v>9865</v>
      </c>
      <c r="G367" t="s">
        <v>9860</v>
      </c>
      <c r="H367">
        <v>-6.5</v>
      </c>
      <c r="I367">
        <v>-0.75</v>
      </c>
      <c r="J367">
        <v>180</v>
      </c>
      <c r="L367" t="s">
        <v>7330</v>
      </c>
      <c r="M367" t="s">
        <v>7330</v>
      </c>
      <c r="N367" s="501">
        <v>1118</v>
      </c>
      <c r="P367">
        <v>0</v>
      </c>
      <c r="Q367" s="501">
        <v>1118</v>
      </c>
      <c r="R367" t="s">
        <v>7927</v>
      </c>
      <c r="S367">
        <v>0</v>
      </c>
    </row>
    <row r="368" spans="1:19">
      <c r="A368" t="s">
        <v>9201</v>
      </c>
      <c r="B368">
        <v>103</v>
      </c>
      <c r="C368" t="s">
        <v>7328</v>
      </c>
      <c r="D368" t="s">
        <v>9863</v>
      </c>
      <c r="E368" t="s">
        <v>9933</v>
      </c>
      <c r="F368" t="s">
        <v>9865</v>
      </c>
      <c r="G368" t="s">
        <v>9860</v>
      </c>
      <c r="H368">
        <v>-6.5</v>
      </c>
      <c r="I368">
        <v>-1.25</v>
      </c>
      <c r="J368">
        <v>180</v>
      </c>
      <c r="L368" t="s">
        <v>7330</v>
      </c>
      <c r="M368" t="s">
        <v>7330</v>
      </c>
      <c r="N368" s="501">
        <v>840</v>
      </c>
      <c r="O368" s="501"/>
      <c r="P368">
        <v>0</v>
      </c>
      <c r="Q368" s="501">
        <v>840</v>
      </c>
      <c r="R368" t="s">
        <v>7927</v>
      </c>
      <c r="S368">
        <v>0</v>
      </c>
    </row>
    <row r="369" spans="1:19">
      <c r="A369" t="s">
        <v>9201</v>
      </c>
      <c r="B369">
        <v>103</v>
      </c>
      <c r="C369" t="s">
        <v>7328</v>
      </c>
      <c r="D369" t="s">
        <v>9863</v>
      </c>
      <c r="E369" t="s">
        <v>9934</v>
      </c>
      <c r="F369" t="s">
        <v>9865</v>
      </c>
      <c r="G369" t="s">
        <v>9860</v>
      </c>
      <c r="H369">
        <v>-6.5</v>
      </c>
      <c r="I369">
        <v>-1.75</v>
      </c>
      <c r="J369">
        <v>180</v>
      </c>
      <c r="L369" t="s">
        <v>7330</v>
      </c>
      <c r="M369" t="s">
        <v>7330</v>
      </c>
      <c r="N369" s="501">
        <v>50</v>
      </c>
      <c r="O369" s="501"/>
      <c r="P369">
        <v>0</v>
      </c>
      <c r="Q369" s="501">
        <v>50</v>
      </c>
      <c r="R369" t="s">
        <v>7927</v>
      </c>
      <c r="S369">
        <v>0</v>
      </c>
    </row>
    <row r="370" spans="1:19">
      <c r="A370" t="s">
        <v>9201</v>
      </c>
      <c r="B370">
        <v>103</v>
      </c>
      <c r="C370" t="s">
        <v>7328</v>
      </c>
      <c r="D370" t="s">
        <v>9863</v>
      </c>
      <c r="E370" t="s">
        <v>9935</v>
      </c>
      <c r="F370" t="s">
        <v>9865</v>
      </c>
      <c r="G370" t="s">
        <v>9936</v>
      </c>
      <c r="H370">
        <v>-7</v>
      </c>
      <c r="I370">
        <v>-1.25</v>
      </c>
      <c r="J370">
        <v>180</v>
      </c>
      <c r="L370" t="s">
        <v>7330</v>
      </c>
      <c r="M370" t="s">
        <v>7330</v>
      </c>
      <c r="N370" s="501">
        <v>240</v>
      </c>
      <c r="P370" s="501">
        <v>0</v>
      </c>
      <c r="Q370" s="501">
        <v>240</v>
      </c>
      <c r="R370" t="s">
        <v>7927</v>
      </c>
      <c r="S370">
        <v>0</v>
      </c>
    </row>
    <row r="371" spans="1:19">
      <c r="A371" t="s">
        <v>9201</v>
      </c>
      <c r="B371">
        <v>103</v>
      </c>
      <c r="C371" t="s">
        <v>7328</v>
      </c>
      <c r="D371" t="s">
        <v>9863</v>
      </c>
      <c r="E371" t="s">
        <v>9937</v>
      </c>
      <c r="F371" t="s">
        <v>9865</v>
      </c>
      <c r="G371" t="s">
        <v>9936</v>
      </c>
      <c r="H371">
        <v>-7</v>
      </c>
      <c r="I371">
        <v>-1.75</v>
      </c>
      <c r="J371">
        <v>180</v>
      </c>
      <c r="L371" t="s">
        <v>7330</v>
      </c>
      <c r="M371" t="s">
        <v>7330</v>
      </c>
      <c r="N371" s="501">
        <v>238</v>
      </c>
      <c r="P371">
        <v>0</v>
      </c>
      <c r="Q371" s="501">
        <v>238</v>
      </c>
      <c r="R371" t="s">
        <v>7927</v>
      </c>
      <c r="S371">
        <v>0</v>
      </c>
    </row>
    <row r="372" spans="1:19">
      <c r="A372" t="s">
        <v>9201</v>
      </c>
      <c r="B372">
        <v>103</v>
      </c>
      <c r="C372" t="s">
        <v>7328</v>
      </c>
      <c r="D372" t="s">
        <v>9863</v>
      </c>
      <c r="E372" t="s">
        <v>9938</v>
      </c>
      <c r="F372" t="s">
        <v>9865</v>
      </c>
      <c r="G372" t="s">
        <v>9939</v>
      </c>
      <c r="H372">
        <v>-7.5</v>
      </c>
      <c r="I372">
        <v>-0.75</v>
      </c>
      <c r="J372">
        <v>180</v>
      </c>
      <c r="L372" t="s">
        <v>7330</v>
      </c>
      <c r="M372" t="s">
        <v>7330</v>
      </c>
      <c r="N372" s="501">
        <v>118</v>
      </c>
      <c r="P372">
        <v>0</v>
      </c>
      <c r="Q372" s="501">
        <v>118</v>
      </c>
      <c r="R372" t="s">
        <v>7927</v>
      </c>
      <c r="S372">
        <v>0</v>
      </c>
    </row>
    <row r="373" spans="1:19">
      <c r="A373" t="s">
        <v>9201</v>
      </c>
      <c r="B373">
        <v>103</v>
      </c>
      <c r="C373" t="s">
        <v>7328</v>
      </c>
      <c r="D373" t="s">
        <v>9863</v>
      </c>
      <c r="E373" t="s">
        <v>9940</v>
      </c>
      <c r="F373" t="s">
        <v>9865</v>
      </c>
      <c r="G373" t="s">
        <v>9939</v>
      </c>
      <c r="H373">
        <v>-7.5</v>
      </c>
      <c r="I373">
        <v>-1.75</v>
      </c>
      <c r="J373">
        <v>180</v>
      </c>
      <c r="L373" t="s">
        <v>7330</v>
      </c>
      <c r="M373" t="s">
        <v>7330</v>
      </c>
      <c r="N373" s="501">
        <v>244</v>
      </c>
      <c r="O373" s="501"/>
      <c r="P373">
        <v>0</v>
      </c>
      <c r="Q373" s="501">
        <v>244</v>
      </c>
      <c r="R373" t="s">
        <v>7927</v>
      </c>
      <c r="S373">
        <v>0</v>
      </c>
    </row>
    <row r="374" spans="1:19">
      <c r="A374" t="s">
        <v>9201</v>
      </c>
      <c r="B374">
        <v>103</v>
      </c>
      <c r="C374" t="s">
        <v>7328</v>
      </c>
      <c r="D374" t="s">
        <v>9863</v>
      </c>
      <c r="E374" t="s">
        <v>9941</v>
      </c>
      <c r="F374" t="s">
        <v>9865</v>
      </c>
      <c r="G374" t="s">
        <v>9942</v>
      </c>
      <c r="H374">
        <v>-8</v>
      </c>
      <c r="I374">
        <v>-1.25</v>
      </c>
      <c r="J374">
        <v>180</v>
      </c>
      <c r="L374" t="s">
        <v>7330</v>
      </c>
      <c r="M374" t="s">
        <v>7330</v>
      </c>
      <c r="N374" s="501">
        <v>244</v>
      </c>
      <c r="O374" s="501"/>
      <c r="P374">
        <v>0</v>
      </c>
      <c r="Q374" s="501">
        <v>244</v>
      </c>
      <c r="R374" t="s">
        <v>7927</v>
      </c>
      <c r="S374">
        <v>0</v>
      </c>
    </row>
    <row r="375" spans="1:19">
      <c r="A375" t="s">
        <v>9201</v>
      </c>
      <c r="B375">
        <v>103</v>
      </c>
      <c r="C375" t="s">
        <v>7328</v>
      </c>
      <c r="D375" t="s">
        <v>9863</v>
      </c>
      <c r="E375" t="s">
        <v>9943</v>
      </c>
      <c r="F375" t="s">
        <v>9865</v>
      </c>
      <c r="G375" t="s">
        <v>9942</v>
      </c>
      <c r="H375">
        <v>-8</v>
      </c>
      <c r="I375">
        <v>-1.75</v>
      </c>
      <c r="J375">
        <v>180</v>
      </c>
      <c r="L375" t="s">
        <v>7330</v>
      </c>
      <c r="M375" t="s">
        <v>7330</v>
      </c>
      <c r="N375" s="501">
        <v>106</v>
      </c>
      <c r="O375" s="501"/>
      <c r="P375">
        <v>0</v>
      </c>
      <c r="Q375" s="501">
        <v>106</v>
      </c>
      <c r="R375" t="s">
        <v>7927</v>
      </c>
      <c r="S375">
        <v>0</v>
      </c>
    </row>
    <row r="376" spans="1:19">
      <c r="A376" t="s">
        <v>9201</v>
      </c>
      <c r="B376">
        <v>103</v>
      </c>
      <c r="C376" t="s">
        <v>7328</v>
      </c>
      <c r="D376" t="s">
        <v>9863</v>
      </c>
      <c r="E376" t="s">
        <v>9944</v>
      </c>
      <c r="F376" t="s">
        <v>9865</v>
      </c>
      <c r="G376" t="s">
        <v>9945</v>
      </c>
      <c r="H376">
        <v>-8.5</v>
      </c>
      <c r="I376">
        <v>-0.75</v>
      </c>
      <c r="J376">
        <v>180</v>
      </c>
      <c r="L376" t="s">
        <v>7330</v>
      </c>
      <c r="M376" t="s">
        <v>7330</v>
      </c>
      <c r="N376" s="501">
        <v>240</v>
      </c>
      <c r="O376" s="501"/>
      <c r="P376" s="501">
        <v>0</v>
      </c>
      <c r="Q376" s="501">
        <v>240</v>
      </c>
      <c r="R376" t="s">
        <v>7927</v>
      </c>
      <c r="S376">
        <v>0</v>
      </c>
    </row>
    <row r="377" spans="1:19">
      <c r="A377" t="s">
        <v>9201</v>
      </c>
      <c r="B377">
        <v>103</v>
      </c>
      <c r="C377" t="s">
        <v>7328</v>
      </c>
      <c r="D377" t="s">
        <v>9863</v>
      </c>
      <c r="E377" t="s">
        <v>9946</v>
      </c>
      <c r="F377" t="s">
        <v>9865</v>
      </c>
      <c r="G377" t="s">
        <v>9945</v>
      </c>
      <c r="H377">
        <v>-8.5</v>
      </c>
      <c r="I377">
        <v>-1.25</v>
      </c>
      <c r="J377">
        <v>180</v>
      </c>
      <c r="L377" t="s">
        <v>7330</v>
      </c>
      <c r="M377" t="s">
        <v>7330</v>
      </c>
      <c r="N377" s="501">
        <v>244</v>
      </c>
      <c r="P377">
        <v>0</v>
      </c>
      <c r="Q377" s="501">
        <v>244</v>
      </c>
      <c r="R377" t="s">
        <v>7927</v>
      </c>
      <c r="S377">
        <v>0</v>
      </c>
    </row>
    <row r="378" spans="1:19">
      <c r="A378" t="s">
        <v>9201</v>
      </c>
      <c r="B378">
        <v>103</v>
      </c>
      <c r="C378" t="s">
        <v>7328</v>
      </c>
      <c r="D378" t="s">
        <v>9863</v>
      </c>
      <c r="E378" t="s">
        <v>9947</v>
      </c>
      <c r="F378" t="s">
        <v>9865</v>
      </c>
      <c r="G378" t="s">
        <v>9945</v>
      </c>
      <c r="H378">
        <v>-8.5</v>
      </c>
      <c r="I378">
        <v>-1.75</v>
      </c>
      <c r="J378">
        <v>180</v>
      </c>
      <c r="L378" t="s">
        <v>7330</v>
      </c>
      <c r="M378" t="s">
        <v>7330</v>
      </c>
      <c r="N378" s="501">
        <v>244</v>
      </c>
      <c r="O378" s="501"/>
      <c r="P378" s="501">
        <v>0</v>
      </c>
      <c r="Q378" s="501">
        <v>244</v>
      </c>
      <c r="R378" t="s">
        <v>7927</v>
      </c>
      <c r="S378">
        <v>0</v>
      </c>
    </row>
    <row r="379" spans="1:19">
      <c r="A379" t="s">
        <v>9201</v>
      </c>
      <c r="B379">
        <v>103</v>
      </c>
      <c r="C379" t="s">
        <v>7328</v>
      </c>
      <c r="D379" t="s">
        <v>9863</v>
      </c>
      <c r="E379" t="s">
        <v>9948</v>
      </c>
      <c r="F379" t="s">
        <v>9865</v>
      </c>
      <c r="G379" t="s">
        <v>9949</v>
      </c>
      <c r="H379">
        <v>-9</v>
      </c>
      <c r="I379">
        <v>-0.75</v>
      </c>
      <c r="J379">
        <v>180</v>
      </c>
      <c r="L379" t="s">
        <v>7330</v>
      </c>
      <c r="M379" t="s">
        <v>7330</v>
      </c>
      <c r="N379" s="501">
        <v>90</v>
      </c>
      <c r="O379" s="501"/>
      <c r="P379" s="501">
        <v>0</v>
      </c>
      <c r="Q379" s="501">
        <v>90</v>
      </c>
      <c r="R379" t="s">
        <v>7927</v>
      </c>
      <c r="S379">
        <v>0</v>
      </c>
    </row>
    <row r="380" spans="1:19">
      <c r="A380" t="s">
        <v>9201</v>
      </c>
      <c r="B380">
        <v>103</v>
      </c>
      <c r="C380" t="s">
        <v>7328</v>
      </c>
      <c r="D380" t="s">
        <v>9863</v>
      </c>
      <c r="E380" t="s">
        <v>9950</v>
      </c>
      <c r="F380" t="s">
        <v>9865</v>
      </c>
      <c r="G380" t="s">
        <v>9949</v>
      </c>
      <c r="H380">
        <v>-9</v>
      </c>
      <c r="I380">
        <v>-1.25</v>
      </c>
      <c r="J380">
        <v>180</v>
      </c>
      <c r="L380" t="s">
        <v>7330</v>
      </c>
      <c r="M380" t="s">
        <v>7330</v>
      </c>
      <c r="N380" s="501">
        <v>20</v>
      </c>
      <c r="P380">
        <v>0</v>
      </c>
      <c r="Q380" s="501">
        <v>20</v>
      </c>
      <c r="R380" t="s">
        <v>7927</v>
      </c>
      <c r="S380">
        <v>0</v>
      </c>
    </row>
    <row r="381" spans="1:19">
      <c r="A381" t="s">
        <v>9201</v>
      </c>
      <c r="B381">
        <v>103</v>
      </c>
      <c r="C381" t="s">
        <v>7328</v>
      </c>
      <c r="D381" t="s">
        <v>9863</v>
      </c>
      <c r="E381" t="s">
        <v>9951</v>
      </c>
      <c r="F381" t="s">
        <v>9865</v>
      </c>
      <c r="G381" t="s">
        <v>9949</v>
      </c>
      <c r="H381">
        <v>-9</v>
      </c>
      <c r="I381">
        <v>-1.75</v>
      </c>
      <c r="J381">
        <v>180</v>
      </c>
      <c r="L381" t="s">
        <v>7330</v>
      </c>
      <c r="M381" t="s">
        <v>7330</v>
      </c>
      <c r="N381" s="501">
        <v>244</v>
      </c>
      <c r="O381" s="501"/>
      <c r="P381" s="501">
        <v>0</v>
      </c>
      <c r="Q381" s="501">
        <v>244</v>
      </c>
      <c r="R381" t="s">
        <v>7927</v>
      </c>
      <c r="S381">
        <v>0</v>
      </c>
    </row>
    <row r="382" spans="1:19">
      <c r="A382" t="s">
        <v>9201</v>
      </c>
      <c r="B382">
        <v>103</v>
      </c>
      <c r="C382" t="s">
        <v>7328</v>
      </c>
      <c r="D382" t="s">
        <v>11872</v>
      </c>
      <c r="E382" t="s">
        <v>11873</v>
      </c>
      <c r="F382" t="s">
        <v>11874</v>
      </c>
      <c r="G382" t="s">
        <v>9870</v>
      </c>
      <c r="H382">
        <v>-1.25</v>
      </c>
      <c r="K382" t="s">
        <v>9343</v>
      </c>
      <c r="L382" t="s">
        <v>11875</v>
      </c>
      <c r="M382" t="s">
        <v>11876</v>
      </c>
      <c r="N382" s="501"/>
      <c r="O382">
        <v>60</v>
      </c>
      <c r="P382">
        <v>60</v>
      </c>
      <c r="Q382" s="501"/>
      <c r="R382" t="s">
        <v>7333</v>
      </c>
      <c r="S382">
        <v>0</v>
      </c>
    </row>
    <row r="383" spans="1:19">
      <c r="A383" t="s">
        <v>9201</v>
      </c>
      <c r="B383">
        <v>103</v>
      </c>
      <c r="C383" t="s">
        <v>7328</v>
      </c>
      <c r="D383" t="s">
        <v>9952</v>
      </c>
      <c r="E383" t="s">
        <v>9953</v>
      </c>
      <c r="F383" t="s">
        <v>9954</v>
      </c>
      <c r="G383" t="s">
        <v>9955</v>
      </c>
      <c r="H383">
        <v>0</v>
      </c>
      <c r="K383" t="s">
        <v>9340</v>
      </c>
      <c r="L383" t="s">
        <v>9956</v>
      </c>
      <c r="M383" t="s">
        <v>9957</v>
      </c>
      <c r="N383" s="501"/>
      <c r="O383" s="501">
        <v>900</v>
      </c>
      <c r="P383" s="501">
        <v>900</v>
      </c>
      <c r="Q383" s="501"/>
      <c r="R383" t="s">
        <v>7329</v>
      </c>
      <c r="S383">
        <v>0</v>
      </c>
    </row>
    <row r="384" spans="1:19">
      <c r="A384" t="s">
        <v>9201</v>
      </c>
      <c r="B384">
        <v>103</v>
      </c>
      <c r="C384" t="s">
        <v>7328</v>
      </c>
      <c r="D384" t="s">
        <v>9958</v>
      </c>
      <c r="E384" t="s">
        <v>9959</v>
      </c>
      <c r="F384" t="s">
        <v>9960</v>
      </c>
      <c r="G384" t="s">
        <v>9961</v>
      </c>
      <c r="H384">
        <v>-2.75</v>
      </c>
      <c r="L384" t="s">
        <v>7330</v>
      </c>
      <c r="M384" t="s">
        <v>7330</v>
      </c>
      <c r="N384" s="501">
        <v>6</v>
      </c>
      <c r="P384">
        <v>0</v>
      </c>
      <c r="Q384" s="501">
        <v>6</v>
      </c>
      <c r="R384" t="s">
        <v>9962</v>
      </c>
      <c r="S384">
        <v>0</v>
      </c>
    </row>
    <row r="385" spans="1:19">
      <c r="A385" t="s">
        <v>9201</v>
      </c>
      <c r="B385">
        <v>103</v>
      </c>
      <c r="C385" t="s">
        <v>7328</v>
      </c>
      <c r="D385" t="s">
        <v>11877</v>
      </c>
      <c r="E385" t="s">
        <v>11878</v>
      </c>
      <c r="F385" t="s">
        <v>11879</v>
      </c>
      <c r="G385" t="s">
        <v>11880</v>
      </c>
      <c r="H385">
        <v>-0.75</v>
      </c>
      <c r="K385" t="s">
        <v>11881</v>
      </c>
      <c r="L385" t="s">
        <v>11882</v>
      </c>
      <c r="M385" t="s">
        <v>11883</v>
      </c>
      <c r="N385" s="501"/>
      <c r="O385">
        <v>50</v>
      </c>
      <c r="P385">
        <v>50</v>
      </c>
      <c r="Q385" s="501"/>
      <c r="R385" t="s">
        <v>11884</v>
      </c>
      <c r="S385">
        <v>0</v>
      </c>
    </row>
    <row r="386" spans="1:19">
      <c r="A386" t="s">
        <v>9201</v>
      </c>
      <c r="B386">
        <v>103</v>
      </c>
      <c r="C386" t="s">
        <v>7328</v>
      </c>
      <c r="D386" t="s">
        <v>11877</v>
      </c>
      <c r="E386" t="s">
        <v>11885</v>
      </c>
      <c r="F386" t="s">
        <v>11879</v>
      </c>
      <c r="G386" t="s">
        <v>11886</v>
      </c>
      <c r="H386">
        <v>-1.5</v>
      </c>
      <c r="K386" t="s">
        <v>11881</v>
      </c>
      <c r="L386" t="s">
        <v>11887</v>
      </c>
      <c r="M386" t="s">
        <v>11888</v>
      </c>
      <c r="N386" s="501"/>
      <c r="O386">
        <v>50</v>
      </c>
      <c r="P386">
        <v>50</v>
      </c>
      <c r="Q386" s="501"/>
      <c r="R386" t="s">
        <v>11884</v>
      </c>
      <c r="S386">
        <v>0</v>
      </c>
    </row>
    <row r="387" spans="1:19">
      <c r="A387" t="s">
        <v>9201</v>
      </c>
      <c r="B387">
        <v>103</v>
      </c>
      <c r="C387" t="s">
        <v>7328</v>
      </c>
      <c r="D387" t="s">
        <v>11877</v>
      </c>
      <c r="E387" t="s">
        <v>11889</v>
      </c>
      <c r="F387" t="s">
        <v>11879</v>
      </c>
      <c r="G387" t="s">
        <v>11890</v>
      </c>
      <c r="H387">
        <v>-2</v>
      </c>
      <c r="K387" t="s">
        <v>11881</v>
      </c>
      <c r="L387" t="s">
        <v>11891</v>
      </c>
      <c r="M387" t="s">
        <v>11892</v>
      </c>
      <c r="N387" s="501"/>
      <c r="O387" s="501">
        <v>50</v>
      </c>
      <c r="P387" s="501">
        <v>50</v>
      </c>
      <c r="Q387" s="501"/>
      <c r="R387" t="s">
        <v>11884</v>
      </c>
      <c r="S387">
        <v>0</v>
      </c>
    </row>
    <row r="388" spans="1:19">
      <c r="A388" t="s">
        <v>9201</v>
      </c>
      <c r="B388">
        <v>103</v>
      </c>
      <c r="C388" t="s">
        <v>7328</v>
      </c>
      <c r="D388" t="s">
        <v>11877</v>
      </c>
      <c r="E388" t="s">
        <v>11893</v>
      </c>
      <c r="F388" t="s">
        <v>11879</v>
      </c>
      <c r="G388" t="s">
        <v>11894</v>
      </c>
      <c r="H388">
        <v>-2.5</v>
      </c>
      <c r="K388" t="s">
        <v>11881</v>
      </c>
      <c r="L388" t="s">
        <v>11895</v>
      </c>
      <c r="M388" t="s">
        <v>11896</v>
      </c>
      <c r="N388" s="501"/>
      <c r="O388" s="501">
        <v>50</v>
      </c>
      <c r="P388" s="501">
        <v>50</v>
      </c>
      <c r="Q388" s="501"/>
      <c r="R388" t="s">
        <v>11884</v>
      </c>
      <c r="S388">
        <v>0</v>
      </c>
    </row>
    <row r="389" spans="1:19">
      <c r="A389" t="s">
        <v>9201</v>
      </c>
      <c r="B389">
        <v>103</v>
      </c>
      <c r="C389" t="s">
        <v>7328</v>
      </c>
      <c r="D389" t="s">
        <v>11877</v>
      </c>
      <c r="E389" t="s">
        <v>11897</v>
      </c>
      <c r="F389" t="s">
        <v>11879</v>
      </c>
      <c r="G389" t="s">
        <v>11898</v>
      </c>
      <c r="H389">
        <v>-3.25</v>
      </c>
      <c r="K389" t="s">
        <v>11881</v>
      </c>
      <c r="L389" t="s">
        <v>11899</v>
      </c>
      <c r="M389" t="s">
        <v>11900</v>
      </c>
      <c r="N389" s="501"/>
      <c r="O389" s="501">
        <v>50</v>
      </c>
      <c r="P389" s="501">
        <v>50</v>
      </c>
      <c r="Q389" s="501"/>
      <c r="R389" t="s">
        <v>11884</v>
      </c>
      <c r="S389">
        <v>0</v>
      </c>
    </row>
    <row r="390" spans="1:19">
      <c r="A390" t="s">
        <v>9201</v>
      </c>
      <c r="B390">
        <v>103</v>
      </c>
      <c r="C390" t="s">
        <v>7328</v>
      </c>
      <c r="D390" t="s">
        <v>11877</v>
      </c>
      <c r="E390" t="s">
        <v>11901</v>
      </c>
      <c r="F390" t="s">
        <v>11879</v>
      </c>
      <c r="G390" t="s">
        <v>11902</v>
      </c>
      <c r="H390">
        <v>-3.75</v>
      </c>
      <c r="K390" t="s">
        <v>11881</v>
      </c>
      <c r="L390" t="s">
        <v>11903</v>
      </c>
      <c r="M390" t="s">
        <v>11904</v>
      </c>
      <c r="N390" s="501"/>
      <c r="O390" s="501">
        <v>50</v>
      </c>
      <c r="P390" s="501">
        <v>50</v>
      </c>
      <c r="Q390" s="501"/>
      <c r="R390" t="s">
        <v>11884</v>
      </c>
      <c r="S390">
        <v>0</v>
      </c>
    </row>
    <row r="391" spans="1:19">
      <c r="A391" t="s">
        <v>9201</v>
      </c>
      <c r="B391">
        <v>103</v>
      </c>
      <c r="C391" t="s">
        <v>7328</v>
      </c>
      <c r="D391" t="s">
        <v>11877</v>
      </c>
      <c r="E391" t="s">
        <v>11905</v>
      </c>
      <c r="F391" t="s">
        <v>11879</v>
      </c>
      <c r="G391" t="s">
        <v>11906</v>
      </c>
      <c r="H391">
        <v>-4</v>
      </c>
      <c r="K391" t="s">
        <v>11881</v>
      </c>
      <c r="L391" t="s">
        <v>11907</v>
      </c>
      <c r="M391" t="s">
        <v>11908</v>
      </c>
      <c r="N391" s="501"/>
      <c r="O391" s="501">
        <v>50</v>
      </c>
      <c r="P391" s="501">
        <v>50</v>
      </c>
      <c r="Q391" s="501"/>
      <c r="R391" t="s">
        <v>11884</v>
      </c>
      <c r="S391">
        <v>0</v>
      </c>
    </row>
    <row r="392" spans="1:19">
      <c r="A392" t="s">
        <v>9201</v>
      </c>
      <c r="B392">
        <v>103</v>
      </c>
      <c r="C392" t="s">
        <v>7328</v>
      </c>
      <c r="D392" t="s">
        <v>11877</v>
      </c>
      <c r="E392" t="s">
        <v>11909</v>
      </c>
      <c r="F392" t="s">
        <v>11879</v>
      </c>
      <c r="G392" t="s">
        <v>11910</v>
      </c>
      <c r="H392">
        <v>-4.25</v>
      </c>
      <c r="K392" t="s">
        <v>11881</v>
      </c>
      <c r="L392" t="s">
        <v>11911</v>
      </c>
      <c r="M392" t="s">
        <v>11912</v>
      </c>
      <c r="N392" s="501"/>
      <c r="O392" s="501">
        <v>50</v>
      </c>
      <c r="P392" s="501">
        <v>50</v>
      </c>
      <c r="Q392" s="501"/>
      <c r="R392" t="s">
        <v>11884</v>
      </c>
      <c r="S392">
        <v>0</v>
      </c>
    </row>
    <row r="393" spans="1:19">
      <c r="A393" t="s">
        <v>9201</v>
      </c>
      <c r="B393">
        <v>103</v>
      </c>
      <c r="C393" t="s">
        <v>7328</v>
      </c>
      <c r="D393" t="s">
        <v>11877</v>
      </c>
      <c r="E393" t="s">
        <v>11913</v>
      </c>
      <c r="F393" t="s">
        <v>11879</v>
      </c>
      <c r="G393" t="s">
        <v>11914</v>
      </c>
      <c r="H393">
        <v>-4.5</v>
      </c>
      <c r="K393" t="s">
        <v>11881</v>
      </c>
      <c r="L393" t="s">
        <v>11915</v>
      </c>
      <c r="M393" t="s">
        <v>11916</v>
      </c>
      <c r="N393" s="501"/>
      <c r="O393">
        <v>50</v>
      </c>
      <c r="P393">
        <v>50</v>
      </c>
      <c r="Q393" s="501"/>
      <c r="R393" t="s">
        <v>11884</v>
      </c>
      <c r="S393">
        <v>0</v>
      </c>
    </row>
    <row r="394" spans="1:19">
      <c r="A394" t="s">
        <v>9201</v>
      </c>
      <c r="B394">
        <v>103</v>
      </c>
      <c r="C394" t="s">
        <v>7328</v>
      </c>
      <c r="D394" t="s">
        <v>11877</v>
      </c>
      <c r="E394" t="s">
        <v>11917</v>
      </c>
      <c r="F394" t="s">
        <v>11879</v>
      </c>
      <c r="G394" t="s">
        <v>11918</v>
      </c>
      <c r="H394">
        <v>-4.75</v>
      </c>
      <c r="K394" t="s">
        <v>11881</v>
      </c>
      <c r="L394" t="s">
        <v>11919</v>
      </c>
      <c r="M394" t="s">
        <v>11920</v>
      </c>
      <c r="N394" s="501"/>
      <c r="O394">
        <v>50</v>
      </c>
      <c r="P394">
        <v>50</v>
      </c>
      <c r="Q394" s="501"/>
      <c r="R394" t="s">
        <v>11884</v>
      </c>
      <c r="S394">
        <v>0</v>
      </c>
    </row>
    <row r="395" spans="1:19">
      <c r="A395" t="s">
        <v>9201</v>
      </c>
      <c r="B395">
        <v>103</v>
      </c>
      <c r="C395" t="s">
        <v>7328</v>
      </c>
      <c r="D395" t="s">
        <v>11877</v>
      </c>
      <c r="E395" t="s">
        <v>11921</v>
      </c>
      <c r="F395" t="s">
        <v>11879</v>
      </c>
      <c r="G395" t="s">
        <v>11922</v>
      </c>
      <c r="H395">
        <v>-5.5</v>
      </c>
      <c r="K395" t="s">
        <v>11881</v>
      </c>
      <c r="L395" t="s">
        <v>11923</v>
      </c>
      <c r="M395" t="s">
        <v>11924</v>
      </c>
      <c r="N395" s="501"/>
      <c r="O395" s="501">
        <v>50</v>
      </c>
      <c r="P395" s="501">
        <v>50</v>
      </c>
      <c r="Q395" s="501"/>
      <c r="R395" t="s">
        <v>11884</v>
      </c>
      <c r="S395">
        <v>0</v>
      </c>
    </row>
    <row r="396" spans="1:19">
      <c r="A396" t="s">
        <v>9201</v>
      </c>
      <c r="B396">
        <v>103</v>
      </c>
      <c r="C396" t="s">
        <v>7328</v>
      </c>
      <c r="D396" t="s">
        <v>11877</v>
      </c>
      <c r="E396" t="s">
        <v>11925</v>
      </c>
      <c r="F396" t="s">
        <v>11879</v>
      </c>
      <c r="G396" t="s">
        <v>11926</v>
      </c>
      <c r="H396">
        <v>-6</v>
      </c>
      <c r="K396" t="s">
        <v>11881</v>
      </c>
      <c r="L396" t="s">
        <v>11927</v>
      </c>
      <c r="M396" t="s">
        <v>11928</v>
      </c>
      <c r="N396" s="501"/>
      <c r="O396" s="501">
        <v>50</v>
      </c>
      <c r="P396" s="501">
        <v>50</v>
      </c>
      <c r="Q396" s="501"/>
      <c r="R396" t="s">
        <v>11884</v>
      </c>
      <c r="S396">
        <v>0</v>
      </c>
    </row>
    <row r="397" spans="1:19">
      <c r="A397" t="s">
        <v>9201</v>
      </c>
      <c r="B397">
        <v>103</v>
      </c>
      <c r="C397" t="s">
        <v>7328</v>
      </c>
      <c r="D397" t="s">
        <v>11877</v>
      </c>
      <c r="E397" t="s">
        <v>11929</v>
      </c>
      <c r="F397" t="s">
        <v>11879</v>
      </c>
      <c r="G397" t="s">
        <v>11930</v>
      </c>
      <c r="H397">
        <v>-7</v>
      </c>
      <c r="K397" t="s">
        <v>11881</v>
      </c>
      <c r="L397" t="s">
        <v>11931</v>
      </c>
      <c r="M397" t="s">
        <v>11932</v>
      </c>
      <c r="N397" s="501"/>
      <c r="O397" s="501">
        <v>50</v>
      </c>
      <c r="P397" s="501">
        <v>50</v>
      </c>
      <c r="Q397" s="501"/>
      <c r="R397" t="s">
        <v>11884</v>
      </c>
      <c r="S397">
        <v>0</v>
      </c>
    </row>
    <row r="398" spans="1:19">
      <c r="A398" t="s">
        <v>9201</v>
      </c>
      <c r="B398">
        <v>103</v>
      </c>
      <c r="C398" t="s">
        <v>7328</v>
      </c>
      <c r="D398" t="s">
        <v>11877</v>
      </c>
      <c r="E398" t="s">
        <v>11933</v>
      </c>
      <c r="F398" t="s">
        <v>11879</v>
      </c>
      <c r="G398" t="s">
        <v>11934</v>
      </c>
      <c r="H398">
        <v>-7.5</v>
      </c>
      <c r="K398" t="s">
        <v>11881</v>
      </c>
      <c r="L398" t="s">
        <v>11935</v>
      </c>
      <c r="M398" t="s">
        <v>11936</v>
      </c>
      <c r="N398" s="501"/>
      <c r="O398" s="501">
        <v>50</v>
      </c>
      <c r="P398" s="501">
        <v>50</v>
      </c>
      <c r="Q398" s="501"/>
      <c r="R398" t="s">
        <v>11884</v>
      </c>
      <c r="S398">
        <v>0</v>
      </c>
    </row>
    <row r="399" spans="1:19">
      <c r="A399" t="s">
        <v>9201</v>
      </c>
      <c r="B399">
        <v>103</v>
      </c>
      <c r="C399" t="s">
        <v>7328</v>
      </c>
      <c r="D399" t="s">
        <v>9963</v>
      </c>
      <c r="E399" t="s">
        <v>9964</v>
      </c>
      <c r="F399" t="s">
        <v>9965</v>
      </c>
      <c r="G399" t="s">
        <v>9966</v>
      </c>
      <c r="H399">
        <v>0</v>
      </c>
      <c r="L399" t="s">
        <v>7330</v>
      </c>
      <c r="M399" t="s">
        <v>7330</v>
      </c>
      <c r="N399" s="501">
        <v>5</v>
      </c>
      <c r="O399" s="501"/>
      <c r="P399" s="501">
        <v>0</v>
      </c>
      <c r="Q399" s="501">
        <v>5</v>
      </c>
      <c r="R399" t="s">
        <v>7333</v>
      </c>
      <c r="S399">
        <v>0</v>
      </c>
    </row>
    <row r="400" spans="1:19">
      <c r="A400" t="s">
        <v>9201</v>
      </c>
      <c r="B400">
        <v>103</v>
      </c>
      <c r="C400" t="s">
        <v>7328</v>
      </c>
      <c r="D400" t="s">
        <v>9963</v>
      </c>
      <c r="E400" t="s">
        <v>9964</v>
      </c>
      <c r="F400" t="s">
        <v>9965</v>
      </c>
      <c r="G400" t="s">
        <v>9966</v>
      </c>
      <c r="H400">
        <v>0</v>
      </c>
      <c r="K400" t="s">
        <v>9206</v>
      </c>
      <c r="L400" t="s">
        <v>9967</v>
      </c>
      <c r="M400" t="s">
        <v>9968</v>
      </c>
      <c r="N400" s="501"/>
      <c r="O400">
        <v>50</v>
      </c>
      <c r="P400">
        <v>50</v>
      </c>
      <c r="Q400" s="501"/>
      <c r="R400" t="s">
        <v>7333</v>
      </c>
      <c r="S400">
        <v>0</v>
      </c>
    </row>
    <row r="401" spans="1:19">
      <c r="A401" t="s">
        <v>9201</v>
      </c>
      <c r="B401">
        <v>103</v>
      </c>
      <c r="C401" t="s">
        <v>7328</v>
      </c>
      <c r="D401" t="s">
        <v>9963</v>
      </c>
      <c r="E401" t="s">
        <v>9969</v>
      </c>
      <c r="F401" t="s">
        <v>9965</v>
      </c>
      <c r="G401" t="s">
        <v>9970</v>
      </c>
      <c r="H401">
        <v>-1</v>
      </c>
      <c r="L401" t="s">
        <v>7330</v>
      </c>
      <c r="M401" t="s">
        <v>7330</v>
      </c>
      <c r="N401" s="501">
        <v>775</v>
      </c>
      <c r="O401" s="501"/>
      <c r="P401">
        <v>0</v>
      </c>
      <c r="Q401" s="501">
        <v>775</v>
      </c>
      <c r="R401" t="s">
        <v>7333</v>
      </c>
      <c r="S401">
        <v>0</v>
      </c>
    </row>
    <row r="402" spans="1:19">
      <c r="A402" t="s">
        <v>9201</v>
      </c>
      <c r="B402">
        <v>103</v>
      </c>
      <c r="C402" t="s">
        <v>7328</v>
      </c>
      <c r="D402" t="s">
        <v>9963</v>
      </c>
      <c r="E402" t="s">
        <v>9971</v>
      </c>
      <c r="F402" t="s">
        <v>9965</v>
      </c>
      <c r="G402" t="s">
        <v>9972</v>
      </c>
      <c r="H402">
        <v>-1.25</v>
      </c>
      <c r="L402" t="s">
        <v>7330</v>
      </c>
      <c r="M402" t="s">
        <v>7330</v>
      </c>
      <c r="N402" s="501">
        <v>640</v>
      </c>
      <c r="P402" s="501">
        <v>0</v>
      </c>
      <c r="Q402" s="501">
        <v>640</v>
      </c>
      <c r="R402" t="s">
        <v>7333</v>
      </c>
      <c r="S402">
        <v>0</v>
      </c>
    </row>
    <row r="403" spans="1:19">
      <c r="A403" t="s">
        <v>9201</v>
      </c>
      <c r="B403">
        <v>103</v>
      </c>
      <c r="C403" t="s">
        <v>7328</v>
      </c>
      <c r="D403" t="s">
        <v>9963</v>
      </c>
      <c r="E403" t="s">
        <v>9973</v>
      </c>
      <c r="F403" t="s">
        <v>9965</v>
      </c>
      <c r="G403" t="s">
        <v>9974</v>
      </c>
      <c r="H403">
        <v>-1.5</v>
      </c>
      <c r="L403" t="s">
        <v>7330</v>
      </c>
      <c r="M403" t="s">
        <v>7330</v>
      </c>
      <c r="N403" s="501">
        <v>1420</v>
      </c>
      <c r="O403">
        <v>125</v>
      </c>
      <c r="P403" s="501">
        <v>0</v>
      </c>
      <c r="Q403" s="501">
        <v>1545</v>
      </c>
      <c r="R403" t="s">
        <v>7333</v>
      </c>
      <c r="S403">
        <v>0</v>
      </c>
    </row>
    <row r="404" spans="1:19">
      <c r="A404" t="s">
        <v>9201</v>
      </c>
      <c r="B404">
        <v>103</v>
      </c>
      <c r="C404" t="s">
        <v>7328</v>
      </c>
      <c r="D404" t="s">
        <v>9963</v>
      </c>
      <c r="E404" t="s">
        <v>9975</v>
      </c>
      <c r="F404" t="s">
        <v>9965</v>
      </c>
      <c r="G404" t="s">
        <v>9976</v>
      </c>
      <c r="H404">
        <v>-1.75</v>
      </c>
      <c r="L404" t="s">
        <v>7330</v>
      </c>
      <c r="M404" t="s">
        <v>7330</v>
      </c>
      <c r="N404" s="501">
        <v>2095</v>
      </c>
      <c r="P404">
        <v>0</v>
      </c>
      <c r="Q404" s="501">
        <v>2095</v>
      </c>
      <c r="R404" t="s">
        <v>7333</v>
      </c>
      <c r="S404">
        <v>0</v>
      </c>
    </row>
    <row r="405" spans="1:19">
      <c r="A405" t="s">
        <v>9201</v>
      </c>
      <c r="B405">
        <v>103</v>
      </c>
      <c r="C405" t="s">
        <v>7328</v>
      </c>
      <c r="D405" t="s">
        <v>9963</v>
      </c>
      <c r="E405" t="s">
        <v>9977</v>
      </c>
      <c r="F405" t="s">
        <v>9965</v>
      </c>
      <c r="G405" t="s">
        <v>9978</v>
      </c>
      <c r="H405">
        <v>-2</v>
      </c>
      <c r="L405" t="s">
        <v>7330</v>
      </c>
      <c r="M405" t="s">
        <v>7330</v>
      </c>
      <c r="N405" s="501">
        <v>2730</v>
      </c>
      <c r="P405">
        <v>0</v>
      </c>
      <c r="Q405" s="501">
        <v>2730</v>
      </c>
      <c r="R405" t="s">
        <v>7333</v>
      </c>
      <c r="S405">
        <v>0</v>
      </c>
    </row>
    <row r="406" spans="1:19">
      <c r="A406" t="s">
        <v>9201</v>
      </c>
      <c r="B406">
        <v>103</v>
      </c>
      <c r="C406" t="s">
        <v>7328</v>
      </c>
      <c r="D406" t="s">
        <v>9963</v>
      </c>
      <c r="E406" t="s">
        <v>9979</v>
      </c>
      <c r="F406" t="s">
        <v>9965</v>
      </c>
      <c r="G406" t="s">
        <v>9980</v>
      </c>
      <c r="H406">
        <v>-2.25</v>
      </c>
      <c r="L406" t="s">
        <v>7330</v>
      </c>
      <c r="M406" t="s">
        <v>7330</v>
      </c>
      <c r="N406" s="501">
        <v>3215</v>
      </c>
      <c r="P406">
        <v>0</v>
      </c>
      <c r="Q406" s="501">
        <v>3215</v>
      </c>
      <c r="R406" t="s">
        <v>7333</v>
      </c>
      <c r="S406">
        <v>0</v>
      </c>
    </row>
    <row r="407" spans="1:19">
      <c r="A407" t="s">
        <v>9201</v>
      </c>
      <c r="B407">
        <v>103</v>
      </c>
      <c r="C407" t="s">
        <v>7328</v>
      </c>
      <c r="D407" t="s">
        <v>9963</v>
      </c>
      <c r="E407" t="s">
        <v>9979</v>
      </c>
      <c r="F407" t="s">
        <v>9965</v>
      </c>
      <c r="G407" t="s">
        <v>9980</v>
      </c>
      <c r="H407">
        <v>-2.25</v>
      </c>
      <c r="K407" t="s">
        <v>9343</v>
      </c>
      <c r="L407" t="s">
        <v>9981</v>
      </c>
      <c r="M407" t="s">
        <v>9982</v>
      </c>
      <c r="N407" s="501"/>
      <c r="O407">
        <v>40</v>
      </c>
      <c r="P407">
        <v>40</v>
      </c>
      <c r="Q407" s="501"/>
      <c r="R407" t="s">
        <v>7333</v>
      </c>
      <c r="S407">
        <v>0</v>
      </c>
    </row>
    <row r="408" spans="1:19">
      <c r="A408" t="s">
        <v>9201</v>
      </c>
      <c r="B408">
        <v>103</v>
      </c>
      <c r="C408" t="s">
        <v>7328</v>
      </c>
      <c r="D408" t="s">
        <v>9963</v>
      </c>
      <c r="E408" t="s">
        <v>9983</v>
      </c>
      <c r="F408" t="s">
        <v>9965</v>
      </c>
      <c r="G408" t="s">
        <v>9984</v>
      </c>
      <c r="H408">
        <v>-2.5</v>
      </c>
      <c r="L408" t="s">
        <v>7330</v>
      </c>
      <c r="M408" t="s">
        <v>7330</v>
      </c>
      <c r="N408" s="501">
        <v>3100</v>
      </c>
      <c r="O408" s="501"/>
      <c r="P408" s="501">
        <v>0</v>
      </c>
      <c r="Q408" s="501">
        <v>3100</v>
      </c>
      <c r="R408" t="s">
        <v>7333</v>
      </c>
      <c r="S408">
        <v>0</v>
      </c>
    </row>
    <row r="409" spans="1:19">
      <c r="A409" t="s">
        <v>9201</v>
      </c>
      <c r="B409">
        <v>103</v>
      </c>
      <c r="C409" t="s">
        <v>7328</v>
      </c>
      <c r="D409" t="s">
        <v>9963</v>
      </c>
      <c r="E409" t="s">
        <v>9985</v>
      </c>
      <c r="F409" t="s">
        <v>9965</v>
      </c>
      <c r="G409" t="s">
        <v>9986</v>
      </c>
      <c r="H409">
        <v>-2.75</v>
      </c>
      <c r="L409" t="s">
        <v>7330</v>
      </c>
      <c r="M409" t="s">
        <v>7330</v>
      </c>
      <c r="N409" s="501">
        <v>3575</v>
      </c>
      <c r="O409" s="501"/>
      <c r="P409" s="501">
        <v>0</v>
      </c>
      <c r="Q409" s="501">
        <v>3575</v>
      </c>
      <c r="R409" t="s">
        <v>7333</v>
      </c>
      <c r="S409">
        <v>0</v>
      </c>
    </row>
    <row r="410" spans="1:19">
      <c r="A410" t="s">
        <v>9201</v>
      </c>
      <c r="B410">
        <v>103</v>
      </c>
      <c r="C410" t="s">
        <v>7328</v>
      </c>
      <c r="D410" t="s">
        <v>9963</v>
      </c>
      <c r="E410" t="s">
        <v>9987</v>
      </c>
      <c r="F410" t="s">
        <v>9965</v>
      </c>
      <c r="G410" t="s">
        <v>9988</v>
      </c>
      <c r="H410">
        <v>-3</v>
      </c>
      <c r="L410" t="s">
        <v>7330</v>
      </c>
      <c r="M410" t="s">
        <v>7330</v>
      </c>
      <c r="N410" s="501">
        <v>3955</v>
      </c>
      <c r="O410" s="501"/>
      <c r="P410" s="501">
        <v>0</v>
      </c>
      <c r="Q410" s="501">
        <v>3955</v>
      </c>
      <c r="R410" t="s">
        <v>7333</v>
      </c>
      <c r="S410">
        <v>0</v>
      </c>
    </row>
    <row r="411" spans="1:19">
      <c r="A411" t="s">
        <v>9201</v>
      </c>
      <c r="B411">
        <v>103</v>
      </c>
      <c r="C411" t="s">
        <v>7328</v>
      </c>
      <c r="D411" t="s">
        <v>9963</v>
      </c>
      <c r="E411" t="s">
        <v>9989</v>
      </c>
      <c r="F411" t="s">
        <v>9965</v>
      </c>
      <c r="G411" t="s">
        <v>9990</v>
      </c>
      <c r="H411">
        <v>-3.25</v>
      </c>
      <c r="L411" t="s">
        <v>7330</v>
      </c>
      <c r="M411" t="s">
        <v>7330</v>
      </c>
      <c r="N411" s="501">
        <v>3340</v>
      </c>
      <c r="O411" s="501"/>
      <c r="P411" s="501">
        <v>0</v>
      </c>
      <c r="Q411" s="501">
        <v>3340</v>
      </c>
      <c r="R411" t="s">
        <v>7333</v>
      </c>
      <c r="S411">
        <v>0</v>
      </c>
    </row>
    <row r="412" spans="1:19">
      <c r="A412" t="s">
        <v>9201</v>
      </c>
      <c r="B412">
        <v>103</v>
      </c>
      <c r="C412" t="s">
        <v>7328</v>
      </c>
      <c r="D412" t="s">
        <v>9963</v>
      </c>
      <c r="E412" t="s">
        <v>9991</v>
      </c>
      <c r="F412" t="s">
        <v>9965</v>
      </c>
      <c r="G412" t="s">
        <v>9992</v>
      </c>
      <c r="H412">
        <v>-3.5</v>
      </c>
      <c r="L412" t="s">
        <v>7330</v>
      </c>
      <c r="M412" t="s">
        <v>7330</v>
      </c>
      <c r="N412" s="501">
        <v>4100</v>
      </c>
      <c r="O412" s="501"/>
      <c r="P412" s="501">
        <v>0</v>
      </c>
      <c r="Q412" s="501">
        <v>4100</v>
      </c>
      <c r="R412" t="s">
        <v>7333</v>
      </c>
      <c r="S412">
        <v>0</v>
      </c>
    </row>
    <row r="413" spans="1:19">
      <c r="A413" t="s">
        <v>9201</v>
      </c>
      <c r="B413">
        <v>103</v>
      </c>
      <c r="C413" t="s">
        <v>7328</v>
      </c>
      <c r="D413" t="s">
        <v>9963</v>
      </c>
      <c r="E413" t="s">
        <v>9993</v>
      </c>
      <c r="F413" t="s">
        <v>9965</v>
      </c>
      <c r="G413" t="s">
        <v>9751</v>
      </c>
      <c r="H413">
        <v>-3.75</v>
      </c>
      <c r="L413" t="s">
        <v>7330</v>
      </c>
      <c r="M413" t="s">
        <v>7330</v>
      </c>
      <c r="N413" s="501">
        <v>4685</v>
      </c>
      <c r="O413" s="501"/>
      <c r="P413" s="501">
        <v>0</v>
      </c>
      <c r="Q413" s="501">
        <v>4685</v>
      </c>
      <c r="R413" t="s">
        <v>7333</v>
      </c>
      <c r="S413">
        <v>0</v>
      </c>
    </row>
    <row r="414" spans="1:19">
      <c r="A414" t="s">
        <v>9201</v>
      </c>
      <c r="B414">
        <v>103</v>
      </c>
      <c r="C414" t="s">
        <v>7328</v>
      </c>
      <c r="D414" t="s">
        <v>9963</v>
      </c>
      <c r="E414" t="s">
        <v>9994</v>
      </c>
      <c r="F414" t="s">
        <v>9965</v>
      </c>
      <c r="G414" t="s">
        <v>9995</v>
      </c>
      <c r="H414">
        <v>-4</v>
      </c>
      <c r="L414" t="s">
        <v>7330</v>
      </c>
      <c r="M414" t="s">
        <v>7330</v>
      </c>
      <c r="N414" s="501">
        <v>3715</v>
      </c>
      <c r="O414" s="501"/>
      <c r="P414" s="501">
        <v>0</v>
      </c>
      <c r="Q414" s="501">
        <v>3715</v>
      </c>
      <c r="R414" t="s">
        <v>7333</v>
      </c>
      <c r="S414">
        <v>0</v>
      </c>
    </row>
    <row r="415" spans="1:19">
      <c r="A415" t="s">
        <v>9201</v>
      </c>
      <c r="B415">
        <v>103</v>
      </c>
      <c r="C415" t="s">
        <v>7328</v>
      </c>
      <c r="D415" t="s">
        <v>9963</v>
      </c>
      <c r="E415" t="s">
        <v>9996</v>
      </c>
      <c r="F415" t="s">
        <v>9965</v>
      </c>
      <c r="G415" t="s">
        <v>9997</v>
      </c>
      <c r="H415">
        <v>-4.25</v>
      </c>
      <c r="L415" t="s">
        <v>7330</v>
      </c>
      <c r="M415" t="s">
        <v>7330</v>
      </c>
      <c r="N415" s="501">
        <v>3705</v>
      </c>
      <c r="O415" s="501">
        <v>5</v>
      </c>
      <c r="P415" s="501">
        <v>0</v>
      </c>
      <c r="Q415" s="501">
        <v>3710</v>
      </c>
      <c r="R415" t="s">
        <v>7333</v>
      </c>
      <c r="S415">
        <v>0</v>
      </c>
    </row>
    <row r="416" spans="1:19">
      <c r="A416" t="s">
        <v>9201</v>
      </c>
      <c r="B416">
        <v>103</v>
      </c>
      <c r="C416" t="s">
        <v>7328</v>
      </c>
      <c r="D416" t="s">
        <v>9963</v>
      </c>
      <c r="E416" t="s">
        <v>9998</v>
      </c>
      <c r="F416" t="s">
        <v>9965</v>
      </c>
      <c r="G416" t="s">
        <v>9999</v>
      </c>
      <c r="H416">
        <v>-4.5</v>
      </c>
      <c r="L416" t="s">
        <v>7330</v>
      </c>
      <c r="M416" t="s">
        <v>7330</v>
      </c>
      <c r="N416" s="501">
        <v>3910</v>
      </c>
      <c r="O416" s="501"/>
      <c r="P416" s="501">
        <v>0</v>
      </c>
      <c r="Q416" s="501">
        <v>3910</v>
      </c>
      <c r="R416" t="s">
        <v>7333</v>
      </c>
      <c r="S416">
        <v>0</v>
      </c>
    </row>
    <row r="417" spans="1:19">
      <c r="A417" t="s">
        <v>9201</v>
      </c>
      <c r="B417">
        <v>103</v>
      </c>
      <c r="C417" t="s">
        <v>7328</v>
      </c>
      <c r="D417" t="s">
        <v>9963</v>
      </c>
      <c r="E417" t="s">
        <v>10000</v>
      </c>
      <c r="F417" t="s">
        <v>9965</v>
      </c>
      <c r="G417" t="s">
        <v>10001</v>
      </c>
      <c r="H417">
        <v>-4.75</v>
      </c>
      <c r="L417" t="s">
        <v>7330</v>
      </c>
      <c r="M417" t="s">
        <v>7330</v>
      </c>
      <c r="N417" s="501">
        <v>2830</v>
      </c>
      <c r="O417" s="501"/>
      <c r="P417" s="501">
        <v>0</v>
      </c>
      <c r="Q417" s="501">
        <v>2830</v>
      </c>
      <c r="R417" t="s">
        <v>7333</v>
      </c>
      <c r="S417">
        <v>0</v>
      </c>
    </row>
    <row r="418" spans="1:19">
      <c r="A418" t="s">
        <v>9201</v>
      </c>
      <c r="B418">
        <v>103</v>
      </c>
      <c r="C418" t="s">
        <v>7328</v>
      </c>
      <c r="D418" t="s">
        <v>9963</v>
      </c>
      <c r="E418" t="s">
        <v>10002</v>
      </c>
      <c r="F418" t="s">
        <v>9965</v>
      </c>
      <c r="G418" t="s">
        <v>10003</v>
      </c>
      <c r="H418">
        <v>-5</v>
      </c>
      <c r="L418" t="s">
        <v>7330</v>
      </c>
      <c r="M418" t="s">
        <v>7330</v>
      </c>
      <c r="N418" s="501">
        <v>4050</v>
      </c>
      <c r="O418" s="501"/>
      <c r="P418" s="501">
        <v>0</v>
      </c>
      <c r="Q418" s="501">
        <v>4050</v>
      </c>
      <c r="R418" t="s">
        <v>7333</v>
      </c>
      <c r="S418">
        <v>0</v>
      </c>
    </row>
    <row r="419" spans="1:19">
      <c r="A419" t="s">
        <v>9201</v>
      </c>
      <c r="B419">
        <v>103</v>
      </c>
      <c r="C419" t="s">
        <v>7328</v>
      </c>
      <c r="D419" t="s">
        <v>9963</v>
      </c>
      <c r="E419" t="s">
        <v>10004</v>
      </c>
      <c r="F419" t="s">
        <v>9965</v>
      </c>
      <c r="G419" t="s">
        <v>10005</v>
      </c>
      <c r="H419">
        <v>-5.25</v>
      </c>
      <c r="L419" t="s">
        <v>7330</v>
      </c>
      <c r="M419" t="s">
        <v>7330</v>
      </c>
      <c r="N419" s="501">
        <v>1820</v>
      </c>
      <c r="O419" s="501"/>
      <c r="P419" s="501">
        <v>0</v>
      </c>
      <c r="Q419" s="501">
        <v>1820</v>
      </c>
      <c r="R419" t="s">
        <v>7333</v>
      </c>
      <c r="S419">
        <v>0</v>
      </c>
    </row>
    <row r="420" spans="1:19">
      <c r="A420" t="s">
        <v>9201</v>
      </c>
      <c r="B420">
        <v>103</v>
      </c>
      <c r="C420" t="s">
        <v>7328</v>
      </c>
      <c r="D420" t="s">
        <v>9963</v>
      </c>
      <c r="E420" t="s">
        <v>10006</v>
      </c>
      <c r="F420" t="s">
        <v>9965</v>
      </c>
      <c r="G420" t="s">
        <v>10007</v>
      </c>
      <c r="H420">
        <v>-5.5</v>
      </c>
      <c r="L420" t="s">
        <v>7330</v>
      </c>
      <c r="M420" t="s">
        <v>7330</v>
      </c>
      <c r="N420" s="501">
        <v>3440</v>
      </c>
      <c r="O420" s="501"/>
      <c r="P420" s="501">
        <v>0</v>
      </c>
      <c r="Q420" s="501">
        <v>3440</v>
      </c>
      <c r="R420" t="s">
        <v>7333</v>
      </c>
      <c r="S420">
        <v>0</v>
      </c>
    </row>
    <row r="421" spans="1:19">
      <c r="A421" t="s">
        <v>9201</v>
      </c>
      <c r="B421">
        <v>103</v>
      </c>
      <c r="C421" t="s">
        <v>7328</v>
      </c>
      <c r="D421" t="s">
        <v>9963</v>
      </c>
      <c r="E421" t="s">
        <v>10008</v>
      </c>
      <c r="F421" t="s">
        <v>9965</v>
      </c>
      <c r="G421" t="s">
        <v>10009</v>
      </c>
      <c r="H421">
        <v>-5.75</v>
      </c>
      <c r="L421" t="s">
        <v>7330</v>
      </c>
      <c r="M421" t="s">
        <v>7330</v>
      </c>
      <c r="N421" s="501">
        <v>205</v>
      </c>
      <c r="O421" s="501"/>
      <c r="P421" s="501">
        <v>0</v>
      </c>
      <c r="Q421" s="501">
        <v>205</v>
      </c>
      <c r="R421" t="s">
        <v>7333</v>
      </c>
      <c r="S421">
        <v>0</v>
      </c>
    </row>
    <row r="422" spans="1:19">
      <c r="A422" t="s">
        <v>9201</v>
      </c>
      <c r="B422">
        <v>103</v>
      </c>
      <c r="C422" t="s">
        <v>7328</v>
      </c>
      <c r="D422" t="s">
        <v>9963</v>
      </c>
      <c r="E422" t="s">
        <v>10010</v>
      </c>
      <c r="F422" t="s">
        <v>9965</v>
      </c>
      <c r="G422" t="s">
        <v>10011</v>
      </c>
      <c r="H422">
        <v>-6</v>
      </c>
      <c r="L422" t="s">
        <v>7330</v>
      </c>
      <c r="M422" t="s">
        <v>7330</v>
      </c>
      <c r="N422" s="501">
        <v>2455</v>
      </c>
      <c r="O422" s="501"/>
      <c r="P422" s="501">
        <v>0</v>
      </c>
      <c r="Q422" s="501">
        <v>2455</v>
      </c>
      <c r="R422" t="s">
        <v>7333</v>
      </c>
      <c r="S422">
        <v>0</v>
      </c>
    </row>
    <row r="423" spans="1:19">
      <c r="A423" t="s">
        <v>9201</v>
      </c>
      <c r="B423">
        <v>103</v>
      </c>
      <c r="C423" t="s">
        <v>7328</v>
      </c>
      <c r="D423" t="s">
        <v>9963</v>
      </c>
      <c r="E423" t="s">
        <v>10012</v>
      </c>
      <c r="F423" t="s">
        <v>9965</v>
      </c>
      <c r="G423" t="s">
        <v>10013</v>
      </c>
      <c r="H423">
        <v>-6.5</v>
      </c>
      <c r="L423" t="s">
        <v>7330</v>
      </c>
      <c r="M423" t="s">
        <v>7330</v>
      </c>
      <c r="N423" s="501">
        <v>2290</v>
      </c>
      <c r="O423" s="501"/>
      <c r="P423" s="501">
        <v>0</v>
      </c>
      <c r="Q423" s="501">
        <v>2290</v>
      </c>
      <c r="R423" t="s">
        <v>7333</v>
      </c>
      <c r="S423">
        <v>0</v>
      </c>
    </row>
    <row r="424" spans="1:19">
      <c r="A424" t="s">
        <v>9201</v>
      </c>
      <c r="B424">
        <v>103</v>
      </c>
      <c r="C424" t="s">
        <v>7328</v>
      </c>
      <c r="D424" t="s">
        <v>9963</v>
      </c>
      <c r="E424" t="s">
        <v>10014</v>
      </c>
      <c r="F424" t="s">
        <v>9965</v>
      </c>
      <c r="G424" t="s">
        <v>10015</v>
      </c>
      <c r="H424">
        <v>-7</v>
      </c>
      <c r="L424" t="s">
        <v>7330</v>
      </c>
      <c r="M424" t="s">
        <v>7330</v>
      </c>
      <c r="N424" s="501">
        <v>3195</v>
      </c>
      <c r="O424" s="501"/>
      <c r="P424" s="501">
        <v>0</v>
      </c>
      <c r="Q424" s="501">
        <v>3195</v>
      </c>
      <c r="R424" t="s">
        <v>7333</v>
      </c>
      <c r="S424">
        <v>0</v>
      </c>
    </row>
    <row r="425" spans="1:19">
      <c r="A425" t="s">
        <v>9201</v>
      </c>
      <c r="B425">
        <v>103</v>
      </c>
      <c r="C425" t="s">
        <v>7328</v>
      </c>
      <c r="D425" t="s">
        <v>9963</v>
      </c>
      <c r="E425" t="s">
        <v>10016</v>
      </c>
      <c r="F425" t="s">
        <v>9965</v>
      </c>
      <c r="G425" t="s">
        <v>9753</v>
      </c>
      <c r="H425">
        <v>-7.5</v>
      </c>
      <c r="L425" t="s">
        <v>7330</v>
      </c>
      <c r="M425" t="s">
        <v>7330</v>
      </c>
      <c r="N425" s="501">
        <v>810</v>
      </c>
      <c r="O425" s="501"/>
      <c r="P425" s="501">
        <v>0</v>
      </c>
      <c r="Q425" s="501">
        <v>810</v>
      </c>
      <c r="R425" t="s">
        <v>7333</v>
      </c>
      <c r="S425">
        <v>0</v>
      </c>
    </row>
    <row r="426" spans="1:19">
      <c r="A426" t="s">
        <v>9201</v>
      </c>
      <c r="B426">
        <v>103</v>
      </c>
      <c r="C426" t="s">
        <v>7328</v>
      </c>
      <c r="D426" t="s">
        <v>9963</v>
      </c>
      <c r="E426" t="s">
        <v>10017</v>
      </c>
      <c r="F426" t="s">
        <v>9965</v>
      </c>
      <c r="G426" t="s">
        <v>10018</v>
      </c>
      <c r="H426">
        <v>-8</v>
      </c>
      <c r="L426" t="s">
        <v>7330</v>
      </c>
      <c r="M426" t="s">
        <v>7330</v>
      </c>
      <c r="N426" s="501">
        <v>295</v>
      </c>
      <c r="P426">
        <v>0</v>
      </c>
      <c r="Q426" s="501">
        <v>295</v>
      </c>
      <c r="R426" t="s">
        <v>7333</v>
      </c>
      <c r="S426">
        <v>0</v>
      </c>
    </row>
    <row r="427" spans="1:19">
      <c r="A427" t="s">
        <v>9201</v>
      </c>
      <c r="B427">
        <v>103</v>
      </c>
      <c r="C427" t="s">
        <v>7328</v>
      </c>
      <c r="D427" t="s">
        <v>9963</v>
      </c>
      <c r="E427" t="s">
        <v>10019</v>
      </c>
      <c r="F427" t="s">
        <v>9965</v>
      </c>
      <c r="G427" t="s">
        <v>10020</v>
      </c>
      <c r="H427">
        <v>-8.5</v>
      </c>
      <c r="L427" t="s">
        <v>7330</v>
      </c>
      <c r="M427" t="s">
        <v>7330</v>
      </c>
      <c r="N427" s="501">
        <v>1090</v>
      </c>
      <c r="O427" s="501">
        <v>70</v>
      </c>
      <c r="P427" s="501">
        <v>0</v>
      </c>
      <c r="Q427" s="501">
        <v>1160</v>
      </c>
      <c r="R427" t="s">
        <v>7333</v>
      </c>
      <c r="S427">
        <v>0</v>
      </c>
    </row>
    <row r="428" spans="1:19">
      <c r="A428" t="s">
        <v>9201</v>
      </c>
      <c r="B428">
        <v>103</v>
      </c>
      <c r="C428" t="s">
        <v>7328</v>
      </c>
      <c r="D428" t="s">
        <v>9963</v>
      </c>
      <c r="E428" t="s">
        <v>10021</v>
      </c>
      <c r="F428" t="s">
        <v>9965</v>
      </c>
      <c r="G428" t="s">
        <v>10022</v>
      </c>
      <c r="H428">
        <v>-9</v>
      </c>
      <c r="L428" t="s">
        <v>7330</v>
      </c>
      <c r="M428" t="s">
        <v>7330</v>
      </c>
      <c r="N428" s="501">
        <v>830</v>
      </c>
      <c r="O428" s="501"/>
      <c r="P428" s="501">
        <v>0</v>
      </c>
      <c r="Q428" s="501">
        <v>830</v>
      </c>
      <c r="R428" t="s">
        <v>7333</v>
      </c>
      <c r="S428">
        <v>0</v>
      </c>
    </row>
    <row r="429" spans="1:19">
      <c r="A429" t="s">
        <v>9201</v>
      </c>
      <c r="B429">
        <v>103</v>
      </c>
      <c r="C429" t="s">
        <v>7328</v>
      </c>
      <c r="D429" t="s">
        <v>9963</v>
      </c>
      <c r="E429" t="s">
        <v>10023</v>
      </c>
      <c r="F429" t="s">
        <v>9965</v>
      </c>
      <c r="G429" t="s">
        <v>10024</v>
      </c>
      <c r="H429">
        <v>-9.5</v>
      </c>
      <c r="L429" t="s">
        <v>7330</v>
      </c>
      <c r="M429" t="s">
        <v>7330</v>
      </c>
      <c r="N429" s="501">
        <v>270</v>
      </c>
      <c r="O429" s="501"/>
      <c r="P429" s="501">
        <v>0</v>
      </c>
      <c r="Q429" s="501">
        <v>270</v>
      </c>
      <c r="R429" t="s">
        <v>7333</v>
      </c>
      <c r="S429">
        <v>0</v>
      </c>
    </row>
    <row r="430" spans="1:19">
      <c r="A430" t="s">
        <v>9201</v>
      </c>
      <c r="B430">
        <v>103</v>
      </c>
      <c r="C430" t="s">
        <v>7328</v>
      </c>
      <c r="D430" t="s">
        <v>9963</v>
      </c>
      <c r="E430" t="s">
        <v>10025</v>
      </c>
      <c r="F430" t="s">
        <v>9965</v>
      </c>
      <c r="G430" t="s">
        <v>10026</v>
      </c>
      <c r="H430">
        <v>-10</v>
      </c>
      <c r="L430" t="s">
        <v>7330</v>
      </c>
      <c r="M430" t="s">
        <v>7330</v>
      </c>
      <c r="N430" s="501">
        <v>640</v>
      </c>
      <c r="O430" s="501"/>
      <c r="P430" s="501">
        <v>0</v>
      </c>
      <c r="Q430" s="501">
        <v>640</v>
      </c>
      <c r="R430" t="s">
        <v>7333</v>
      </c>
      <c r="S430">
        <v>0</v>
      </c>
    </row>
    <row r="431" spans="1:19">
      <c r="A431" t="s">
        <v>9201</v>
      </c>
      <c r="B431">
        <v>103</v>
      </c>
      <c r="C431" t="s">
        <v>7328</v>
      </c>
      <c r="D431" t="s">
        <v>9963</v>
      </c>
      <c r="E431" t="s">
        <v>10027</v>
      </c>
      <c r="F431" t="s">
        <v>9965</v>
      </c>
      <c r="G431" t="s">
        <v>10028</v>
      </c>
      <c r="H431">
        <v>-10.5</v>
      </c>
      <c r="L431" t="s">
        <v>7330</v>
      </c>
      <c r="M431" t="s">
        <v>7330</v>
      </c>
      <c r="N431" s="501">
        <v>600</v>
      </c>
      <c r="O431" s="501"/>
      <c r="P431" s="501">
        <v>0</v>
      </c>
      <c r="Q431" s="501">
        <v>600</v>
      </c>
      <c r="R431" t="s">
        <v>7333</v>
      </c>
      <c r="S431">
        <v>0</v>
      </c>
    </row>
    <row r="432" spans="1:19">
      <c r="A432" t="s">
        <v>9201</v>
      </c>
      <c r="B432">
        <v>103</v>
      </c>
      <c r="C432" t="s">
        <v>7328</v>
      </c>
      <c r="D432" t="s">
        <v>9963</v>
      </c>
      <c r="E432" t="s">
        <v>10029</v>
      </c>
      <c r="F432" t="s">
        <v>9965</v>
      </c>
      <c r="G432" t="s">
        <v>10030</v>
      </c>
      <c r="H432">
        <v>-11</v>
      </c>
      <c r="L432" t="s">
        <v>7330</v>
      </c>
      <c r="M432" t="s">
        <v>7330</v>
      </c>
      <c r="N432" s="501">
        <v>345</v>
      </c>
      <c r="O432" s="501"/>
      <c r="P432" s="501">
        <v>0</v>
      </c>
      <c r="Q432" s="501">
        <v>345</v>
      </c>
      <c r="R432" t="s">
        <v>7333</v>
      </c>
      <c r="S432">
        <v>0</v>
      </c>
    </row>
    <row r="433" spans="1:19">
      <c r="A433" t="s">
        <v>9201</v>
      </c>
      <c r="B433">
        <v>103</v>
      </c>
      <c r="C433" t="s">
        <v>7328</v>
      </c>
      <c r="D433" t="s">
        <v>9963</v>
      </c>
      <c r="E433" t="s">
        <v>10031</v>
      </c>
      <c r="F433" t="s">
        <v>9965</v>
      </c>
      <c r="G433" t="s">
        <v>10032</v>
      </c>
      <c r="H433">
        <v>-11.5</v>
      </c>
      <c r="L433" t="s">
        <v>7330</v>
      </c>
      <c r="M433" t="s">
        <v>7330</v>
      </c>
      <c r="N433" s="501">
        <v>205</v>
      </c>
      <c r="O433" s="501"/>
      <c r="P433" s="501">
        <v>0</v>
      </c>
      <c r="Q433" s="501">
        <v>205</v>
      </c>
      <c r="R433" t="s">
        <v>7333</v>
      </c>
      <c r="S433">
        <v>0</v>
      </c>
    </row>
    <row r="434" spans="1:19">
      <c r="A434" t="s">
        <v>9201</v>
      </c>
      <c r="B434">
        <v>103</v>
      </c>
      <c r="C434" t="s">
        <v>7328</v>
      </c>
      <c r="D434" t="s">
        <v>9963</v>
      </c>
      <c r="E434" t="s">
        <v>10033</v>
      </c>
      <c r="F434" t="s">
        <v>9965</v>
      </c>
      <c r="G434" t="s">
        <v>10034</v>
      </c>
      <c r="H434">
        <v>-12</v>
      </c>
      <c r="L434" t="s">
        <v>7330</v>
      </c>
      <c r="M434" t="s">
        <v>7330</v>
      </c>
      <c r="N434" s="501">
        <v>705</v>
      </c>
      <c r="O434" s="501"/>
      <c r="P434" s="501">
        <v>0</v>
      </c>
      <c r="Q434" s="501">
        <v>705</v>
      </c>
      <c r="R434" t="s">
        <v>7333</v>
      </c>
      <c r="S434">
        <v>0</v>
      </c>
    </row>
    <row r="435" spans="1:19">
      <c r="A435" t="s">
        <v>9201</v>
      </c>
      <c r="B435">
        <v>103</v>
      </c>
      <c r="C435" t="s">
        <v>7328</v>
      </c>
      <c r="D435" t="s">
        <v>10035</v>
      </c>
      <c r="E435" t="s">
        <v>10036</v>
      </c>
      <c r="F435" t="s">
        <v>10037</v>
      </c>
      <c r="G435" t="s">
        <v>10038</v>
      </c>
      <c r="H435">
        <v>0</v>
      </c>
      <c r="K435" t="s">
        <v>9573</v>
      </c>
      <c r="L435" t="s">
        <v>10039</v>
      </c>
      <c r="M435" t="s">
        <v>10040</v>
      </c>
      <c r="N435" s="501"/>
      <c r="O435" s="501">
        <v>900</v>
      </c>
      <c r="P435" s="501">
        <v>900</v>
      </c>
      <c r="Q435" s="501"/>
      <c r="R435" t="s">
        <v>7329</v>
      </c>
      <c r="S435">
        <v>0</v>
      </c>
    </row>
    <row r="436" spans="1:19">
      <c r="A436" t="s">
        <v>9201</v>
      </c>
      <c r="B436">
        <v>103</v>
      </c>
      <c r="C436" t="s">
        <v>7328</v>
      </c>
      <c r="D436" t="s">
        <v>10041</v>
      </c>
      <c r="E436" t="s">
        <v>10042</v>
      </c>
      <c r="F436" t="s">
        <v>10043</v>
      </c>
      <c r="G436" t="s">
        <v>10044</v>
      </c>
      <c r="H436">
        <v>0</v>
      </c>
      <c r="L436" t="s">
        <v>7330</v>
      </c>
      <c r="M436" t="s">
        <v>7330</v>
      </c>
      <c r="N436" s="501">
        <v>2805</v>
      </c>
      <c r="O436" s="501">
        <v>90</v>
      </c>
      <c r="P436" s="501">
        <v>0</v>
      </c>
      <c r="Q436" s="501">
        <v>2895</v>
      </c>
      <c r="R436" t="s">
        <v>7329</v>
      </c>
      <c r="S436">
        <v>0</v>
      </c>
    </row>
    <row r="437" spans="1:19">
      <c r="A437" t="s">
        <v>9201</v>
      </c>
      <c r="B437">
        <v>103</v>
      </c>
      <c r="C437" t="s">
        <v>7328</v>
      </c>
      <c r="D437" t="s">
        <v>10041</v>
      </c>
      <c r="E437" t="s">
        <v>10045</v>
      </c>
      <c r="F437" t="s">
        <v>10043</v>
      </c>
      <c r="G437" t="s">
        <v>10046</v>
      </c>
      <c r="H437">
        <v>-0.5</v>
      </c>
      <c r="L437" t="s">
        <v>7330</v>
      </c>
      <c r="M437" t="s">
        <v>7330</v>
      </c>
      <c r="N437" s="501">
        <v>275</v>
      </c>
      <c r="O437" s="501">
        <v>965</v>
      </c>
      <c r="P437" s="501">
        <v>0</v>
      </c>
      <c r="Q437" s="501">
        <v>1240</v>
      </c>
      <c r="R437" t="s">
        <v>7329</v>
      </c>
      <c r="S437">
        <v>0</v>
      </c>
    </row>
    <row r="438" spans="1:19">
      <c r="A438" t="s">
        <v>9201</v>
      </c>
      <c r="B438">
        <v>103</v>
      </c>
      <c r="C438" t="s">
        <v>7328</v>
      </c>
      <c r="D438" t="s">
        <v>10041</v>
      </c>
      <c r="E438" t="s">
        <v>10047</v>
      </c>
      <c r="F438" t="s">
        <v>10043</v>
      </c>
      <c r="G438" t="s">
        <v>10048</v>
      </c>
      <c r="H438">
        <v>-0.75</v>
      </c>
      <c r="L438" t="s">
        <v>7330</v>
      </c>
      <c r="M438" t="s">
        <v>7330</v>
      </c>
      <c r="N438" s="501">
        <v>75</v>
      </c>
      <c r="O438" s="501">
        <v>85</v>
      </c>
      <c r="P438" s="501">
        <v>0</v>
      </c>
      <c r="Q438" s="501">
        <v>160</v>
      </c>
      <c r="R438" t="s">
        <v>7329</v>
      </c>
      <c r="S438">
        <v>0</v>
      </c>
    </row>
    <row r="439" spans="1:19">
      <c r="A439" t="s">
        <v>9201</v>
      </c>
      <c r="B439">
        <v>103</v>
      </c>
      <c r="C439" t="s">
        <v>7328</v>
      </c>
      <c r="D439" t="s">
        <v>10041</v>
      </c>
      <c r="E439" t="s">
        <v>10049</v>
      </c>
      <c r="F439" t="s">
        <v>10043</v>
      </c>
      <c r="G439" t="s">
        <v>10050</v>
      </c>
      <c r="H439">
        <v>-1</v>
      </c>
      <c r="L439" t="s">
        <v>7330</v>
      </c>
      <c r="M439" t="s">
        <v>7330</v>
      </c>
      <c r="N439" s="501">
        <v>1235</v>
      </c>
      <c r="O439" s="501">
        <v>210</v>
      </c>
      <c r="P439" s="501">
        <v>0</v>
      </c>
      <c r="Q439" s="501">
        <v>1445</v>
      </c>
      <c r="R439" t="s">
        <v>7329</v>
      </c>
      <c r="S439">
        <v>0</v>
      </c>
    </row>
    <row r="440" spans="1:19">
      <c r="A440" t="s">
        <v>9201</v>
      </c>
      <c r="B440">
        <v>103</v>
      </c>
      <c r="C440" t="s">
        <v>7328</v>
      </c>
      <c r="D440" t="s">
        <v>10041</v>
      </c>
      <c r="E440" t="s">
        <v>10051</v>
      </c>
      <c r="F440" t="s">
        <v>10043</v>
      </c>
      <c r="G440" t="s">
        <v>10052</v>
      </c>
      <c r="H440">
        <v>-1.25</v>
      </c>
      <c r="L440" t="s">
        <v>7330</v>
      </c>
      <c r="M440" t="s">
        <v>7330</v>
      </c>
      <c r="N440" s="501">
        <v>1515</v>
      </c>
      <c r="O440" s="501">
        <v>45</v>
      </c>
      <c r="P440" s="501">
        <v>0</v>
      </c>
      <c r="Q440" s="501">
        <v>1560</v>
      </c>
      <c r="R440" t="s">
        <v>7329</v>
      </c>
      <c r="S440">
        <v>0</v>
      </c>
    </row>
    <row r="441" spans="1:19">
      <c r="A441" t="s">
        <v>9201</v>
      </c>
      <c r="B441">
        <v>103</v>
      </c>
      <c r="C441" t="s">
        <v>7328</v>
      </c>
      <c r="D441" t="s">
        <v>10041</v>
      </c>
      <c r="E441" t="s">
        <v>10053</v>
      </c>
      <c r="F441" t="s">
        <v>10043</v>
      </c>
      <c r="G441" t="s">
        <v>10054</v>
      </c>
      <c r="H441">
        <v>-1.5</v>
      </c>
      <c r="L441" t="s">
        <v>7330</v>
      </c>
      <c r="M441" t="s">
        <v>7330</v>
      </c>
      <c r="N441" s="501">
        <v>2260</v>
      </c>
      <c r="O441">
        <v>40</v>
      </c>
      <c r="P441">
        <v>0</v>
      </c>
      <c r="Q441" s="501">
        <v>2300</v>
      </c>
      <c r="R441" t="s">
        <v>7329</v>
      </c>
      <c r="S441">
        <v>0</v>
      </c>
    </row>
    <row r="442" spans="1:19">
      <c r="A442" t="s">
        <v>9201</v>
      </c>
      <c r="B442">
        <v>103</v>
      </c>
      <c r="C442" t="s">
        <v>7328</v>
      </c>
      <c r="D442" t="s">
        <v>10041</v>
      </c>
      <c r="E442" t="s">
        <v>10055</v>
      </c>
      <c r="F442" t="s">
        <v>10043</v>
      </c>
      <c r="G442" t="s">
        <v>10056</v>
      </c>
      <c r="H442">
        <v>-1.75</v>
      </c>
      <c r="L442" t="s">
        <v>7330</v>
      </c>
      <c r="M442" t="s">
        <v>7330</v>
      </c>
      <c r="N442" s="501">
        <v>1475</v>
      </c>
      <c r="O442">
        <v>115</v>
      </c>
      <c r="P442">
        <v>0</v>
      </c>
      <c r="Q442" s="501">
        <v>1590</v>
      </c>
      <c r="R442" t="s">
        <v>7329</v>
      </c>
      <c r="S442">
        <v>0</v>
      </c>
    </row>
    <row r="443" spans="1:19">
      <c r="A443" t="s">
        <v>9201</v>
      </c>
      <c r="B443">
        <v>103</v>
      </c>
      <c r="C443" t="s">
        <v>7328</v>
      </c>
      <c r="D443" t="s">
        <v>10041</v>
      </c>
      <c r="E443" t="s">
        <v>10057</v>
      </c>
      <c r="F443" t="s">
        <v>10043</v>
      </c>
      <c r="G443" t="s">
        <v>10058</v>
      </c>
      <c r="H443">
        <v>-2</v>
      </c>
      <c r="L443" t="s">
        <v>7330</v>
      </c>
      <c r="M443" t="s">
        <v>7330</v>
      </c>
      <c r="N443" s="501">
        <v>1615</v>
      </c>
      <c r="O443" s="501">
        <v>158</v>
      </c>
      <c r="P443" s="501">
        <v>0</v>
      </c>
      <c r="Q443" s="501">
        <v>1773</v>
      </c>
      <c r="R443" t="s">
        <v>7329</v>
      </c>
      <c r="S443">
        <v>0</v>
      </c>
    </row>
    <row r="444" spans="1:19">
      <c r="A444" t="s">
        <v>9201</v>
      </c>
      <c r="B444">
        <v>103</v>
      </c>
      <c r="C444" t="s">
        <v>7328</v>
      </c>
      <c r="D444" t="s">
        <v>10041</v>
      </c>
      <c r="E444" t="s">
        <v>10059</v>
      </c>
      <c r="F444" t="s">
        <v>10043</v>
      </c>
      <c r="G444" t="s">
        <v>10060</v>
      </c>
      <c r="H444">
        <v>-2.25</v>
      </c>
      <c r="L444" t="s">
        <v>7330</v>
      </c>
      <c r="M444" t="s">
        <v>7330</v>
      </c>
      <c r="N444" s="501">
        <v>2685</v>
      </c>
      <c r="O444" s="501">
        <v>30</v>
      </c>
      <c r="P444" s="501">
        <v>0</v>
      </c>
      <c r="Q444" s="501">
        <v>2715</v>
      </c>
      <c r="R444" t="s">
        <v>7329</v>
      </c>
      <c r="S444">
        <v>0</v>
      </c>
    </row>
    <row r="445" spans="1:19">
      <c r="A445" t="s">
        <v>9201</v>
      </c>
      <c r="B445">
        <v>103</v>
      </c>
      <c r="C445" t="s">
        <v>7328</v>
      </c>
      <c r="D445" t="s">
        <v>10041</v>
      </c>
      <c r="E445" t="s">
        <v>10061</v>
      </c>
      <c r="F445" t="s">
        <v>10043</v>
      </c>
      <c r="G445" t="s">
        <v>10062</v>
      </c>
      <c r="H445">
        <v>-2.5</v>
      </c>
      <c r="L445" t="s">
        <v>7330</v>
      </c>
      <c r="M445" t="s">
        <v>7330</v>
      </c>
      <c r="N445" s="501">
        <v>3150</v>
      </c>
      <c r="P445">
        <v>0</v>
      </c>
      <c r="Q445" s="501">
        <v>3150</v>
      </c>
      <c r="R445" t="s">
        <v>7329</v>
      </c>
      <c r="S445">
        <v>0</v>
      </c>
    </row>
    <row r="446" spans="1:19">
      <c r="A446" t="s">
        <v>9201</v>
      </c>
      <c r="B446">
        <v>103</v>
      </c>
      <c r="C446" t="s">
        <v>7328</v>
      </c>
      <c r="D446" t="s">
        <v>10041</v>
      </c>
      <c r="E446" t="s">
        <v>10063</v>
      </c>
      <c r="F446" t="s">
        <v>10043</v>
      </c>
      <c r="G446" t="s">
        <v>10064</v>
      </c>
      <c r="H446">
        <v>-2.75</v>
      </c>
      <c r="L446" t="s">
        <v>7330</v>
      </c>
      <c r="M446" t="s">
        <v>7330</v>
      </c>
      <c r="N446" s="501">
        <v>2760</v>
      </c>
      <c r="O446" s="501">
        <v>85</v>
      </c>
      <c r="P446" s="501">
        <v>0</v>
      </c>
      <c r="Q446" s="501">
        <v>2845</v>
      </c>
      <c r="R446" t="s">
        <v>7329</v>
      </c>
      <c r="S446">
        <v>0</v>
      </c>
    </row>
    <row r="447" spans="1:19">
      <c r="A447" t="s">
        <v>9201</v>
      </c>
      <c r="B447">
        <v>103</v>
      </c>
      <c r="C447" t="s">
        <v>7328</v>
      </c>
      <c r="D447" t="s">
        <v>10041</v>
      </c>
      <c r="E447" t="s">
        <v>10065</v>
      </c>
      <c r="F447" t="s">
        <v>10043</v>
      </c>
      <c r="G447" t="s">
        <v>10066</v>
      </c>
      <c r="H447">
        <v>-3</v>
      </c>
      <c r="L447" t="s">
        <v>7330</v>
      </c>
      <c r="M447" t="s">
        <v>7330</v>
      </c>
      <c r="N447" s="501">
        <v>2695</v>
      </c>
      <c r="O447" s="501"/>
      <c r="P447" s="501">
        <v>0</v>
      </c>
      <c r="Q447" s="501">
        <v>2695</v>
      </c>
      <c r="R447" t="s">
        <v>7329</v>
      </c>
      <c r="S447">
        <v>0</v>
      </c>
    </row>
    <row r="448" spans="1:19">
      <c r="A448" t="s">
        <v>9201</v>
      </c>
      <c r="B448">
        <v>103</v>
      </c>
      <c r="C448" t="s">
        <v>7328</v>
      </c>
      <c r="D448" t="s">
        <v>10041</v>
      </c>
      <c r="E448" t="s">
        <v>10067</v>
      </c>
      <c r="F448" t="s">
        <v>10043</v>
      </c>
      <c r="G448" t="s">
        <v>10068</v>
      </c>
      <c r="H448">
        <v>-3.25</v>
      </c>
      <c r="L448" t="s">
        <v>7330</v>
      </c>
      <c r="M448" t="s">
        <v>7330</v>
      </c>
      <c r="N448" s="501">
        <v>1920</v>
      </c>
      <c r="O448" s="501"/>
      <c r="P448" s="501">
        <v>0</v>
      </c>
      <c r="Q448" s="501">
        <v>1920</v>
      </c>
      <c r="R448" t="s">
        <v>7329</v>
      </c>
      <c r="S448">
        <v>0</v>
      </c>
    </row>
    <row r="449" spans="1:19">
      <c r="A449" t="s">
        <v>9201</v>
      </c>
      <c r="B449">
        <v>103</v>
      </c>
      <c r="C449" t="s">
        <v>7328</v>
      </c>
      <c r="D449" t="s">
        <v>10041</v>
      </c>
      <c r="E449" t="s">
        <v>10069</v>
      </c>
      <c r="F449" t="s">
        <v>10043</v>
      </c>
      <c r="G449" t="s">
        <v>10070</v>
      </c>
      <c r="H449">
        <v>-3.5</v>
      </c>
      <c r="L449" t="s">
        <v>7330</v>
      </c>
      <c r="M449" t="s">
        <v>7330</v>
      </c>
      <c r="N449" s="501">
        <v>2155</v>
      </c>
      <c r="O449" s="501">
        <v>105</v>
      </c>
      <c r="P449" s="501">
        <v>0</v>
      </c>
      <c r="Q449" s="501">
        <v>2260</v>
      </c>
      <c r="R449" t="s">
        <v>7329</v>
      </c>
      <c r="S449">
        <v>0</v>
      </c>
    </row>
    <row r="450" spans="1:19">
      <c r="A450" t="s">
        <v>9201</v>
      </c>
      <c r="B450">
        <v>103</v>
      </c>
      <c r="C450" t="s">
        <v>7328</v>
      </c>
      <c r="D450" t="s">
        <v>10041</v>
      </c>
      <c r="E450" t="s">
        <v>10071</v>
      </c>
      <c r="F450" t="s">
        <v>10043</v>
      </c>
      <c r="G450" t="s">
        <v>10072</v>
      </c>
      <c r="H450">
        <v>-3.75</v>
      </c>
      <c r="L450" t="s">
        <v>7330</v>
      </c>
      <c r="M450" t="s">
        <v>7330</v>
      </c>
      <c r="N450" s="501">
        <v>2550</v>
      </c>
      <c r="O450" s="501"/>
      <c r="P450" s="501">
        <v>0</v>
      </c>
      <c r="Q450" s="501">
        <v>2550</v>
      </c>
      <c r="R450" t="s">
        <v>7329</v>
      </c>
      <c r="S450">
        <v>0</v>
      </c>
    </row>
    <row r="451" spans="1:19">
      <c r="A451" t="s">
        <v>9201</v>
      </c>
      <c r="B451">
        <v>103</v>
      </c>
      <c r="C451" t="s">
        <v>7328</v>
      </c>
      <c r="D451" t="s">
        <v>10041</v>
      </c>
      <c r="E451" t="s">
        <v>10073</v>
      </c>
      <c r="F451" t="s">
        <v>10043</v>
      </c>
      <c r="G451" t="s">
        <v>10074</v>
      </c>
      <c r="H451">
        <v>-4</v>
      </c>
      <c r="L451" t="s">
        <v>7330</v>
      </c>
      <c r="M451" t="s">
        <v>7330</v>
      </c>
      <c r="N451" s="501">
        <v>2120</v>
      </c>
      <c r="O451" s="501">
        <v>480</v>
      </c>
      <c r="P451" s="501">
        <v>0</v>
      </c>
      <c r="Q451" s="501">
        <v>2600</v>
      </c>
      <c r="R451" t="s">
        <v>7329</v>
      </c>
      <c r="S451">
        <v>0</v>
      </c>
    </row>
    <row r="452" spans="1:19">
      <c r="A452" t="s">
        <v>9201</v>
      </c>
      <c r="B452">
        <v>103</v>
      </c>
      <c r="C452" t="s">
        <v>7328</v>
      </c>
      <c r="D452" t="s">
        <v>10041</v>
      </c>
      <c r="E452" t="s">
        <v>10075</v>
      </c>
      <c r="F452" t="s">
        <v>10043</v>
      </c>
      <c r="G452" t="s">
        <v>10076</v>
      </c>
      <c r="H452">
        <v>-4.25</v>
      </c>
      <c r="L452" t="s">
        <v>7330</v>
      </c>
      <c r="M452" t="s">
        <v>7330</v>
      </c>
      <c r="N452" s="501">
        <v>2150</v>
      </c>
      <c r="O452" s="501">
        <v>160</v>
      </c>
      <c r="P452" s="501">
        <v>0</v>
      </c>
      <c r="Q452" s="501">
        <v>2310</v>
      </c>
      <c r="R452" t="s">
        <v>7329</v>
      </c>
      <c r="S452">
        <v>0</v>
      </c>
    </row>
    <row r="453" spans="1:19">
      <c r="A453" t="s">
        <v>9201</v>
      </c>
      <c r="B453">
        <v>103</v>
      </c>
      <c r="C453" t="s">
        <v>7328</v>
      </c>
      <c r="D453" t="s">
        <v>10041</v>
      </c>
      <c r="E453" t="s">
        <v>10077</v>
      </c>
      <c r="F453" t="s">
        <v>10043</v>
      </c>
      <c r="G453" t="s">
        <v>10078</v>
      </c>
      <c r="H453">
        <v>-4.5</v>
      </c>
      <c r="L453" t="s">
        <v>7330</v>
      </c>
      <c r="M453" t="s">
        <v>7330</v>
      </c>
      <c r="N453" s="501">
        <v>2075</v>
      </c>
      <c r="O453" s="501">
        <v>265</v>
      </c>
      <c r="P453">
        <v>0</v>
      </c>
      <c r="Q453" s="501">
        <v>2340</v>
      </c>
      <c r="R453" t="s">
        <v>7329</v>
      </c>
      <c r="S453">
        <v>0</v>
      </c>
    </row>
    <row r="454" spans="1:19">
      <c r="A454" t="s">
        <v>9201</v>
      </c>
      <c r="B454">
        <v>103</v>
      </c>
      <c r="C454" t="s">
        <v>7328</v>
      </c>
      <c r="D454" t="s">
        <v>10041</v>
      </c>
      <c r="E454" t="s">
        <v>10079</v>
      </c>
      <c r="F454" t="s">
        <v>10043</v>
      </c>
      <c r="G454" t="s">
        <v>10080</v>
      </c>
      <c r="H454">
        <v>-4.75</v>
      </c>
      <c r="L454" t="s">
        <v>7330</v>
      </c>
      <c r="M454" t="s">
        <v>7330</v>
      </c>
      <c r="N454" s="501">
        <v>2440</v>
      </c>
      <c r="O454" s="501">
        <v>85</v>
      </c>
      <c r="P454" s="501">
        <v>0</v>
      </c>
      <c r="Q454" s="501">
        <v>2525</v>
      </c>
      <c r="R454" t="s">
        <v>7329</v>
      </c>
      <c r="S454">
        <v>0</v>
      </c>
    </row>
    <row r="455" spans="1:19">
      <c r="A455" t="s">
        <v>9201</v>
      </c>
      <c r="B455">
        <v>103</v>
      </c>
      <c r="C455" t="s">
        <v>7328</v>
      </c>
      <c r="D455" t="s">
        <v>10041</v>
      </c>
      <c r="E455" t="s">
        <v>10081</v>
      </c>
      <c r="F455" t="s">
        <v>10043</v>
      </c>
      <c r="G455" t="s">
        <v>10082</v>
      </c>
      <c r="H455">
        <v>-5</v>
      </c>
      <c r="L455" t="s">
        <v>7330</v>
      </c>
      <c r="M455" t="s">
        <v>7330</v>
      </c>
      <c r="N455" s="501">
        <v>1725</v>
      </c>
      <c r="O455" s="501">
        <v>335</v>
      </c>
      <c r="P455" s="501">
        <v>0</v>
      </c>
      <c r="Q455" s="501">
        <v>2060</v>
      </c>
      <c r="R455" t="s">
        <v>7329</v>
      </c>
      <c r="S455">
        <v>0</v>
      </c>
    </row>
    <row r="456" spans="1:19">
      <c r="A456" t="s">
        <v>9201</v>
      </c>
      <c r="B456">
        <v>103</v>
      </c>
      <c r="C456" t="s">
        <v>7328</v>
      </c>
      <c r="D456" t="s">
        <v>10041</v>
      </c>
      <c r="E456" t="s">
        <v>10083</v>
      </c>
      <c r="F456" t="s">
        <v>10043</v>
      </c>
      <c r="G456" t="s">
        <v>10084</v>
      </c>
      <c r="H456">
        <v>-5.25</v>
      </c>
      <c r="L456" t="s">
        <v>7330</v>
      </c>
      <c r="M456" t="s">
        <v>7330</v>
      </c>
      <c r="N456" s="501">
        <v>1095</v>
      </c>
      <c r="O456" s="501">
        <v>115</v>
      </c>
      <c r="P456" s="501">
        <v>0</v>
      </c>
      <c r="Q456" s="501">
        <v>1210</v>
      </c>
      <c r="R456" t="s">
        <v>7329</v>
      </c>
      <c r="S456">
        <v>0</v>
      </c>
    </row>
    <row r="457" spans="1:19">
      <c r="A457" t="s">
        <v>9201</v>
      </c>
      <c r="B457">
        <v>103</v>
      </c>
      <c r="C457" t="s">
        <v>7328</v>
      </c>
      <c r="D457" t="s">
        <v>10041</v>
      </c>
      <c r="E457" t="s">
        <v>10085</v>
      </c>
      <c r="F457" t="s">
        <v>10043</v>
      </c>
      <c r="G457" t="s">
        <v>10086</v>
      </c>
      <c r="H457">
        <v>-5.5</v>
      </c>
      <c r="L457" t="s">
        <v>7330</v>
      </c>
      <c r="M457" t="s">
        <v>7330</v>
      </c>
      <c r="N457" s="501">
        <v>2200</v>
      </c>
      <c r="O457" s="501"/>
      <c r="P457" s="501">
        <v>0</v>
      </c>
      <c r="Q457" s="501">
        <v>2200</v>
      </c>
      <c r="R457" t="s">
        <v>7329</v>
      </c>
      <c r="S457">
        <v>0</v>
      </c>
    </row>
    <row r="458" spans="1:19">
      <c r="A458" t="s">
        <v>9201</v>
      </c>
      <c r="B458">
        <v>103</v>
      </c>
      <c r="C458" t="s">
        <v>7328</v>
      </c>
      <c r="D458" t="s">
        <v>10041</v>
      </c>
      <c r="E458" t="s">
        <v>10087</v>
      </c>
      <c r="F458" t="s">
        <v>10043</v>
      </c>
      <c r="G458" t="s">
        <v>10088</v>
      </c>
      <c r="H458">
        <v>-5.75</v>
      </c>
      <c r="L458" t="s">
        <v>7330</v>
      </c>
      <c r="M458" t="s">
        <v>7330</v>
      </c>
      <c r="N458" s="501">
        <v>610</v>
      </c>
      <c r="O458" s="501">
        <v>230</v>
      </c>
      <c r="P458" s="501">
        <v>0</v>
      </c>
      <c r="Q458" s="501">
        <v>840</v>
      </c>
      <c r="R458" t="s">
        <v>7329</v>
      </c>
      <c r="S458">
        <v>0</v>
      </c>
    </row>
    <row r="459" spans="1:19">
      <c r="A459" t="s">
        <v>9201</v>
      </c>
      <c r="B459">
        <v>103</v>
      </c>
      <c r="C459" t="s">
        <v>7328</v>
      </c>
      <c r="D459" t="s">
        <v>10041</v>
      </c>
      <c r="E459" t="s">
        <v>10089</v>
      </c>
      <c r="F459" t="s">
        <v>10043</v>
      </c>
      <c r="G459" t="s">
        <v>10090</v>
      </c>
      <c r="H459">
        <v>-6</v>
      </c>
      <c r="L459" t="s">
        <v>7330</v>
      </c>
      <c r="M459" t="s">
        <v>7330</v>
      </c>
      <c r="N459" s="501">
        <v>1540</v>
      </c>
      <c r="O459" s="501">
        <v>275</v>
      </c>
      <c r="P459" s="501">
        <v>0</v>
      </c>
      <c r="Q459" s="501">
        <v>1815</v>
      </c>
      <c r="R459" t="s">
        <v>7329</v>
      </c>
      <c r="S459">
        <v>0</v>
      </c>
    </row>
    <row r="460" spans="1:19">
      <c r="A460" t="s">
        <v>9201</v>
      </c>
      <c r="B460">
        <v>103</v>
      </c>
      <c r="C460" t="s">
        <v>7328</v>
      </c>
      <c r="D460" t="s">
        <v>10041</v>
      </c>
      <c r="E460" t="s">
        <v>10091</v>
      </c>
      <c r="F460" t="s">
        <v>10043</v>
      </c>
      <c r="G460" t="s">
        <v>10092</v>
      </c>
      <c r="H460">
        <v>-6.5</v>
      </c>
      <c r="L460" t="s">
        <v>7330</v>
      </c>
      <c r="M460" t="s">
        <v>7330</v>
      </c>
      <c r="N460" s="501">
        <v>1110</v>
      </c>
      <c r="O460" s="501"/>
      <c r="P460" s="501">
        <v>0</v>
      </c>
      <c r="Q460" s="501">
        <v>1110</v>
      </c>
      <c r="R460" t="s">
        <v>7329</v>
      </c>
      <c r="S460">
        <v>0</v>
      </c>
    </row>
    <row r="461" spans="1:19">
      <c r="A461" t="s">
        <v>9201</v>
      </c>
      <c r="B461">
        <v>103</v>
      </c>
      <c r="C461" t="s">
        <v>7328</v>
      </c>
      <c r="D461" t="s">
        <v>10041</v>
      </c>
      <c r="E461" t="s">
        <v>10093</v>
      </c>
      <c r="F461" t="s">
        <v>10043</v>
      </c>
      <c r="G461" t="s">
        <v>10094</v>
      </c>
      <c r="H461">
        <v>-7</v>
      </c>
      <c r="L461" t="s">
        <v>7330</v>
      </c>
      <c r="M461" t="s">
        <v>7330</v>
      </c>
      <c r="N461" s="501">
        <v>1065</v>
      </c>
      <c r="O461" s="501">
        <v>170</v>
      </c>
      <c r="P461" s="501">
        <v>0</v>
      </c>
      <c r="Q461" s="501">
        <v>1235</v>
      </c>
      <c r="R461" t="s">
        <v>7329</v>
      </c>
      <c r="S461">
        <v>0</v>
      </c>
    </row>
    <row r="462" spans="1:19">
      <c r="A462" t="s">
        <v>9201</v>
      </c>
      <c r="B462">
        <v>103</v>
      </c>
      <c r="C462" t="s">
        <v>7328</v>
      </c>
      <c r="D462" t="s">
        <v>10041</v>
      </c>
      <c r="E462" t="s">
        <v>10095</v>
      </c>
      <c r="F462" t="s">
        <v>10043</v>
      </c>
      <c r="G462" t="s">
        <v>10096</v>
      </c>
      <c r="H462">
        <v>-7.5</v>
      </c>
      <c r="L462" t="s">
        <v>7330</v>
      </c>
      <c r="M462" t="s">
        <v>7330</v>
      </c>
      <c r="N462" s="501">
        <v>775</v>
      </c>
      <c r="O462" s="501">
        <v>225</v>
      </c>
      <c r="P462" s="501">
        <v>0</v>
      </c>
      <c r="Q462" s="501">
        <v>1000</v>
      </c>
      <c r="R462" t="s">
        <v>7329</v>
      </c>
      <c r="S462">
        <v>0</v>
      </c>
    </row>
    <row r="463" spans="1:19">
      <c r="A463" t="s">
        <v>9201</v>
      </c>
      <c r="B463">
        <v>103</v>
      </c>
      <c r="C463" t="s">
        <v>7328</v>
      </c>
      <c r="D463" t="s">
        <v>10041</v>
      </c>
      <c r="E463" t="s">
        <v>10097</v>
      </c>
      <c r="F463" t="s">
        <v>10043</v>
      </c>
      <c r="G463" t="s">
        <v>10098</v>
      </c>
      <c r="H463">
        <v>-8</v>
      </c>
      <c r="L463" t="s">
        <v>7330</v>
      </c>
      <c r="M463" t="s">
        <v>7330</v>
      </c>
      <c r="N463" s="501">
        <v>1010</v>
      </c>
      <c r="O463" s="501">
        <v>110</v>
      </c>
      <c r="P463" s="501">
        <v>0</v>
      </c>
      <c r="Q463" s="501">
        <v>1120</v>
      </c>
      <c r="R463" t="s">
        <v>7329</v>
      </c>
      <c r="S463">
        <v>0</v>
      </c>
    </row>
    <row r="464" spans="1:19">
      <c r="A464" t="s">
        <v>9201</v>
      </c>
      <c r="B464">
        <v>103</v>
      </c>
      <c r="C464" t="s">
        <v>7328</v>
      </c>
      <c r="D464" t="s">
        <v>10041</v>
      </c>
      <c r="E464" t="s">
        <v>10099</v>
      </c>
      <c r="F464" t="s">
        <v>10043</v>
      </c>
      <c r="G464" t="s">
        <v>10100</v>
      </c>
      <c r="H464">
        <v>-8.5</v>
      </c>
      <c r="L464" t="s">
        <v>7330</v>
      </c>
      <c r="M464" t="s">
        <v>7330</v>
      </c>
      <c r="N464" s="501">
        <v>120</v>
      </c>
      <c r="O464" s="501">
        <v>110</v>
      </c>
      <c r="P464" s="501">
        <v>0</v>
      </c>
      <c r="Q464" s="501">
        <v>230</v>
      </c>
      <c r="R464" t="s">
        <v>7329</v>
      </c>
      <c r="S464">
        <v>0</v>
      </c>
    </row>
    <row r="465" spans="1:19">
      <c r="A465" t="s">
        <v>9201</v>
      </c>
      <c r="B465">
        <v>103</v>
      </c>
      <c r="C465" t="s">
        <v>7328</v>
      </c>
      <c r="D465" t="s">
        <v>10041</v>
      </c>
      <c r="E465" t="s">
        <v>10101</v>
      </c>
      <c r="F465" t="s">
        <v>10043</v>
      </c>
      <c r="G465" t="s">
        <v>10102</v>
      </c>
      <c r="H465">
        <v>-9</v>
      </c>
      <c r="L465" t="s">
        <v>7330</v>
      </c>
      <c r="M465" t="s">
        <v>7330</v>
      </c>
      <c r="N465" s="501">
        <v>60</v>
      </c>
      <c r="O465" s="501">
        <v>120</v>
      </c>
      <c r="P465" s="501">
        <v>0</v>
      </c>
      <c r="Q465" s="501">
        <v>180</v>
      </c>
      <c r="R465" t="s">
        <v>7329</v>
      </c>
      <c r="S465">
        <v>0</v>
      </c>
    </row>
    <row r="466" spans="1:19">
      <c r="A466" t="s">
        <v>9201</v>
      </c>
      <c r="B466">
        <v>103</v>
      </c>
      <c r="C466" t="s">
        <v>7328</v>
      </c>
      <c r="D466" t="s">
        <v>10041</v>
      </c>
      <c r="E466" t="s">
        <v>10103</v>
      </c>
      <c r="F466" t="s">
        <v>10043</v>
      </c>
      <c r="G466" t="s">
        <v>10104</v>
      </c>
      <c r="H466">
        <v>-9.5</v>
      </c>
      <c r="L466" t="s">
        <v>7330</v>
      </c>
      <c r="M466" t="s">
        <v>7330</v>
      </c>
      <c r="N466" s="501">
        <v>90</v>
      </c>
      <c r="O466" s="501">
        <v>65</v>
      </c>
      <c r="P466" s="501">
        <v>0</v>
      </c>
      <c r="Q466" s="501">
        <v>155</v>
      </c>
      <c r="R466" t="s">
        <v>7329</v>
      </c>
      <c r="S466">
        <v>0</v>
      </c>
    </row>
    <row r="467" spans="1:19">
      <c r="A467" t="s">
        <v>9201</v>
      </c>
      <c r="B467">
        <v>103</v>
      </c>
      <c r="C467" t="s">
        <v>7328</v>
      </c>
      <c r="D467" t="s">
        <v>10041</v>
      </c>
      <c r="E467" t="s">
        <v>10105</v>
      </c>
      <c r="F467" t="s">
        <v>10043</v>
      </c>
      <c r="G467" t="s">
        <v>10106</v>
      </c>
      <c r="H467">
        <v>-10</v>
      </c>
      <c r="L467" t="s">
        <v>7330</v>
      </c>
      <c r="M467" t="s">
        <v>7330</v>
      </c>
      <c r="N467" s="501">
        <v>255</v>
      </c>
      <c r="O467" s="501">
        <v>40</v>
      </c>
      <c r="P467" s="501">
        <v>0</v>
      </c>
      <c r="Q467" s="501">
        <v>295</v>
      </c>
      <c r="R467" t="s">
        <v>7329</v>
      </c>
      <c r="S467">
        <v>0</v>
      </c>
    </row>
    <row r="468" spans="1:19">
      <c r="A468" t="s">
        <v>9201</v>
      </c>
      <c r="B468">
        <v>103</v>
      </c>
      <c r="C468" t="s">
        <v>7328</v>
      </c>
      <c r="D468" t="s">
        <v>10107</v>
      </c>
      <c r="E468" t="s">
        <v>10108</v>
      </c>
      <c r="F468" t="s">
        <v>10109</v>
      </c>
      <c r="G468" t="s">
        <v>10110</v>
      </c>
      <c r="H468">
        <v>0</v>
      </c>
      <c r="L468" t="s">
        <v>7330</v>
      </c>
      <c r="M468" t="s">
        <v>7330</v>
      </c>
      <c r="N468" s="501">
        <v>270</v>
      </c>
      <c r="O468" s="501"/>
      <c r="P468" s="501">
        <v>0</v>
      </c>
      <c r="Q468" s="501">
        <v>270</v>
      </c>
      <c r="R468" t="s">
        <v>7329</v>
      </c>
      <c r="S468">
        <v>0</v>
      </c>
    </row>
    <row r="469" spans="1:19">
      <c r="A469" t="s">
        <v>9201</v>
      </c>
      <c r="B469">
        <v>103</v>
      </c>
      <c r="C469" t="s">
        <v>7328</v>
      </c>
      <c r="D469" t="s">
        <v>10107</v>
      </c>
      <c r="E469" t="s">
        <v>10111</v>
      </c>
      <c r="F469" t="s">
        <v>10109</v>
      </c>
      <c r="G469" t="s">
        <v>10112</v>
      </c>
      <c r="H469">
        <v>-0.5</v>
      </c>
      <c r="L469" t="s">
        <v>7330</v>
      </c>
      <c r="M469" t="s">
        <v>7330</v>
      </c>
      <c r="N469" s="501">
        <v>30</v>
      </c>
      <c r="O469" s="501">
        <v>80</v>
      </c>
      <c r="P469" s="501">
        <v>0</v>
      </c>
      <c r="Q469" s="501">
        <v>110</v>
      </c>
      <c r="R469" t="s">
        <v>7329</v>
      </c>
      <c r="S469">
        <v>0</v>
      </c>
    </row>
    <row r="470" spans="1:19">
      <c r="A470" t="s">
        <v>9201</v>
      </c>
      <c r="B470">
        <v>103</v>
      </c>
      <c r="C470" t="s">
        <v>7328</v>
      </c>
      <c r="D470" t="s">
        <v>10107</v>
      </c>
      <c r="E470" t="s">
        <v>10113</v>
      </c>
      <c r="F470" t="s">
        <v>10109</v>
      </c>
      <c r="G470" t="s">
        <v>10114</v>
      </c>
      <c r="H470">
        <v>-0.75</v>
      </c>
      <c r="L470" t="s">
        <v>7330</v>
      </c>
      <c r="M470" t="s">
        <v>7330</v>
      </c>
      <c r="N470" s="501">
        <v>100</v>
      </c>
      <c r="O470" s="501"/>
      <c r="P470" s="501">
        <v>0</v>
      </c>
      <c r="Q470" s="501">
        <v>100</v>
      </c>
      <c r="R470" t="s">
        <v>7329</v>
      </c>
      <c r="S470">
        <v>0</v>
      </c>
    </row>
    <row r="471" spans="1:19">
      <c r="A471" t="s">
        <v>9201</v>
      </c>
      <c r="B471">
        <v>103</v>
      </c>
      <c r="C471" t="s">
        <v>7328</v>
      </c>
      <c r="D471" t="s">
        <v>10107</v>
      </c>
      <c r="E471" t="s">
        <v>10115</v>
      </c>
      <c r="F471" t="s">
        <v>10109</v>
      </c>
      <c r="G471" t="s">
        <v>10116</v>
      </c>
      <c r="H471">
        <v>-1</v>
      </c>
      <c r="L471" t="s">
        <v>7330</v>
      </c>
      <c r="M471" t="s">
        <v>7330</v>
      </c>
      <c r="N471" s="501">
        <v>40</v>
      </c>
      <c r="P471">
        <v>0</v>
      </c>
      <c r="Q471" s="501">
        <v>40</v>
      </c>
      <c r="R471" t="s">
        <v>7329</v>
      </c>
      <c r="S471">
        <v>0</v>
      </c>
    </row>
    <row r="472" spans="1:19">
      <c r="A472" t="s">
        <v>9201</v>
      </c>
      <c r="B472">
        <v>103</v>
      </c>
      <c r="C472" t="s">
        <v>7328</v>
      </c>
      <c r="D472" t="s">
        <v>10107</v>
      </c>
      <c r="E472" t="s">
        <v>10117</v>
      </c>
      <c r="F472" t="s">
        <v>10109</v>
      </c>
      <c r="G472" t="s">
        <v>10118</v>
      </c>
      <c r="H472">
        <v>-1.25</v>
      </c>
      <c r="L472" t="s">
        <v>7330</v>
      </c>
      <c r="M472" t="s">
        <v>7330</v>
      </c>
      <c r="N472" s="501">
        <v>75</v>
      </c>
      <c r="O472" s="501">
        <v>5</v>
      </c>
      <c r="P472" s="501">
        <v>0</v>
      </c>
      <c r="Q472" s="501">
        <v>80</v>
      </c>
      <c r="R472" t="s">
        <v>7329</v>
      </c>
      <c r="S472">
        <v>0</v>
      </c>
    </row>
    <row r="473" spans="1:19">
      <c r="A473" t="s">
        <v>9201</v>
      </c>
      <c r="B473">
        <v>103</v>
      </c>
      <c r="C473" t="s">
        <v>7328</v>
      </c>
      <c r="D473" t="s">
        <v>10107</v>
      </c>
      <c r="E473" t="s">
        <v>10119</v>
      </c>
      <c r="F473" t="s">
        <v>10109</v>
      </c>
      <c r="G473" t="s">
        <v>10120</v>
      </c>
      <c r="H473">
        <v>-1.5</v>
      </c>
      <c r="L473" t="s">
        <v>7330</v>
      </c>
      <c r="M473" t="s">
        <v>7330</v>
      </c>
      <c r="N473" s="501">
        <v>15</v>
      </c>
      <c r="O473" s="501"/>
      <c r="P473" s="501">
        <v>0</v>
      </c>
      <c r="Q473" s="501">
        <v>15</v>
      </c>
      <c r="R473" t="s">
        <v>7329</v>
      </c>
      <c r="S473">
        <v>0</v>
      </c>
    </row>
    <row r="474" spans="1:19">
      <c r="A474" t="s">
        <v>9201</v>
      </c>
      <c r="B474">
        <v>103</v>
      </c>
      <c r="C474" t="s">
        <v>7328</v>
      </c>
      <c r="D474" t="s">
        <v>10107</v>
      </c>
      <c r="E474" t="s">
        <v>10121</v>
      </c>
      <c r="F474" t="s">
        <v>10109</v>
      </c>
      <c r="G474" t="s">
        <v>10122</v>
      </c>
      <c r="H474">
        <v>-1.75</v>
      </c>
      <c r="L474" t="s">
        <v>7330</v>
      </c>
      <c r="M474" t="s">
        <v>7330</v>
      </c>
      <c r="N474" s="501">
        <v>125</v>
      </c>
      <c r="O474" s="501"/>
      <c r="P474">
        <v>0</v>
      </c>
      <c r="Q474" s="501">
        <v>125</v>
      </c>
      <c r="R474" t="s">
        <v>7329</v>
      </c>
      <c r="S474">
        <v>0</v>
      </c>
    </row>
    <row r="475" spans="1:19">
      <c r="A475" t="s">
        <v>9201</v>
      </c>
      <c r="B475">
        <v>103</v>
      </c>
      <c r="C475" t="s">
        <v>7328</v>
      </c>
      <c r="D475" t="s">
        <v>10107</v>
      </c>
      <c r="E475" t="s">
        <v>10123</v>
      </c>
      <c r="F475" t="s">
        <v>10109</v>
      </c>
      <c r="G475" t="s">
        <v>10124</v>
      </c>
      <c r="H475">
        <v>-2</v>
      </c>
      <c r="L475" t="s">
        <v>7330</v>
      </c>
      <c r="M475" t="s">
        <v>7330</v>
      </c>
      <c r="N475" s="501">
        <v>65</v>
      </c>
      <c r="O475" s="501"/>
      <c r="P475" s="501">
        <v>0</v>
      </c>
      <c r="Q475" s="501">
        <v>65</v>
      </c>
      <c r="R475" t="s">
        <v>7329</v>
      </c>
      <c r="S475">
        <v>0</v>
      </c>
    </row>
    <row r="476" spans="1:19">
      <c r="A476" t="s">
        <v>9201</v>
      </c>
      <c r="B476">
        <v>103</v>
      </c>
      <c r="C476" t="s">
        <v>7328</v>
      </c>
      <c r="D476" t="s">
        <v>10107</v>
      </c>
      <c r="E476" t="s">
        <v>10125</v>
      </c>
      <c r="F476" t="s">
        <v>10109</v>
      </c>
      <c r="G476" t="s">
        <v>10126</v>
      </c>
      <c r="H476">
        <v>-2.25</v>
      </c>
      <c r="L476" t="s">
        <v>7330</v>
      </c>
      <c r="M476" t="s">
        <v>7330</v>
      </c>
      <c r="N476" s="501">
        <v>100</v>
      </c>
      <c r="O476" s="501"/>
      <c r="P476" s="501">
        <v>0</v>
      </c>
      <c r="Q476" s="501">
        <v>100</v>
      </c>
      <c r="R476" t="s">
        <v>7329</v>
      </c>
      <c r="S476">
        <v>0</v>
      </c>
    </row>
    <row r="477" spans="1:19">
      <c r="A477" t="s">
        <v>9201</v>
      </c>
      <c r="B477">
        <v>103</v>
      </c>
      <c r="C477" t="s">
        <v>7328</v>
      </c>
      <c r="D477" t="s">
        <v>10107</v>
      </c>
      <c r="E477" t="s">
        <v>10127</v>
      </c>
      <c r="F477" t="s">
        <v>10109</v>
      </c>
      <c r="G477" t="s">
        <v>10128</v>
      </c>
      <c r="H477">
        <v>-2.5</v>
      </c>
      <c r="L477" t="s">
        <v>7330</v>
      </c>
      <c r="M477" t="s">
        <v>7330</v>
      </c>
      <c r="N477" s="501">
        <v>95</v>
      </c>
      <c r="O477" s="501"/>
      <c r="P477" s="501">
        <v>0</v>
      </c>
      <c r="Q477" s="501">
        <v>95</v>
      </c>
      <c r="R477" t="s">
        <v>7329</v>
      </c>
      <c r="S477">
        <v>0</v>
      </c>
    </row>
    <row r="478" spans="1:19">
      <c r="A478" t="s">
        <v>9201</v>
      </c>
      <c r="B478">
        <v>103</v>
      </c>
      <c r="C478" t="s">
        <v>7328</v>
      </c>
      <c r="D478" t="s">
        <v>10107</v>
      </c>
      <c r="E478" t="s">
        <v>10129</v>
      </c>
      <c r="F478" t="s">
        <v>10109</v>
      </c>
      <c r="G478" t="s">
        <v>10130</v>
      </c>
      <c r="H478">
        <v>-2.75</v>
      </c>
      <c r="L478" t="s">
        <v>7330</v>
      </c>
      <c r="M478" t="s">
        <v>7330</v>
      </c>
      <c r="N478" s="501">
        <v>175</v>
      </c>
      <c r="O478" s="501"/>
      <c r="P478" s="501">
        <v>0</v>
      </c>
      <c r="Q478" s="501">
        <v>175</v>
      </c>
      <c r="R478" t="s">
        <v>7329</v>
      </c>
      <c r="S478">
        <v>0</v>
      </c>
    </row>
    <row r="479" spans="1:19">
      <c r="A479" t="s">
        <v>9201</v>
      </c>
      <c r="B479">
        <v>103</v>
      </c>
      <c r="C479" t="s">
        <v>7328</v>
      </c>
      <c r="D479" t="s">
        <v>10107</v>
      </c>
      <c r="E479" t="s">
        <v>10131</v>
      </c>
      <c r="F479" t="s">
        <v>10109</v>
      </c>
      <c r="G479" t="s">
        <v>10132</v>
      </c>
      <c r="H479">
        <v>-3</v>
      </c>
      <c r="L479" t="s">
        <v>7330</v>
      </c>
      <c r="M479" t="s">
        <v>7330</v>
      </c>
      <c r="N479" s="501">
        <v>240</v>
      </c>
      <c r="O479" s="501">
        <v>5</v>
      </c>
      <c r="P479" s="501">
        <v>0</v>
      </c>
      <c r="Q479" s="501">
        <v>245</v>
      </c>
      <c r="R479" t="s">
        <v>7329</v>
      </c>
      <c r="S479">
        <v>0</v>
      </c>
    </row>
    <row r="480" spans="1:19">
      <c r="A480" t="s">
        <v>9201</v>
      </c>
      <c r="B480">
        <v>103</v>
      </c>
      <c r="C480" t="s">
        <v>7328</v>
      </c>
      <c r="D480" t="s">
        <v>10107</v>
      </c>
      <c r="E480" t="s">
        <v>10133</v>
      </c>
      <c r="F480" t="s">
        <v>10109</v>
      </c>
      <c r="G480" t="s">
        <v>10134</v>
      </c>
      <c r="H480">
        <v>-3.25</v>
      </c>
      <c r="L480" t="s">
        <v>7330</v>
      </c>
      <c r="M480" t="s">
        <v>7330</v>
      </c>
      <c r="N480" s="501">
        <v>370</v>
      </c>
      <c r="O480" s="501"/>
      <c r="P480" s="501">
        <v>0</v>
      </c>
      <c r="Q480" s="501">
        <v>370</v>
      </c>
      <c r="R480" t="s">
        <v>7329</v>
      </c>
      <c r="S480">
        <v>0</v>
      </c>
    </row>
    <row r="481" spans="1:19">
      <c r="A481" t="s">
        <v>9201</v>
      </c>
      <c r="B481">
        <v>103</v>
      </c>
      <c r="C481" t="s">
        <v>7328</v>
      </c>
      <c r="D481" t="s">
        <v>10107</v>
      </c>
      <c r="E481" t="s">
        <v>10135</v>
      </c>
      <c r="F481" t="s">
        <v>10109</v>
      </c>
      <c r="G481" t="s">
        <v>10136</v>
      </c>
      <c r="H481">
        <v>-3.5</v>
      </c>
      <c r="L481" t="s">
        <v>7330</v>
      </c>
      <c r="M481" t="s">
        <v>7330</v>
      </c>
      <c r="N481" s="501">
        <v>225</v>
      </c>
      <c r="O481" s="501"/>
      <c r="P481" s="501">
        <v>0</v>
      </c>
      <c r="Q481" s="501">
        <v>225</v>
      </c>
      <c r="R481" t="s">
        <v>7329</v>
      </c>
      <c r="S481">
        <v>0</v>
      </c>
    </row>
    <row r="482" spans="1:19">
      <c r="A482" t="s">
        <v>9201</v>
      </c>
      <c r="B482">
        <v>103</v>
      </c>
      <c r="C482" t="s">
        <v>7328</v>
      </c>
      <c r="D482" t="s">
        <v>10107</v>
      </c>
      <c r="E482" t="s">
        <v>10137</v>
      </c>
      <c r="F482" t="s">
        <v>10109</v>
      </c>
      <c r="G482" t="s">
        <v>10138</v>
      </c>
      <c r="H482">
        <v>-3.75</v>
      </c>
      <c r="L482" t="s">
        <v>7330</v>
      </c>
      <c r="M482" t="s">
        <v>7330</v>
      </c>
      <c r="N482" s="501">
        <v>110</v>
      </c>
      <c r="O482" s="501"/>
      <c r="P482" s="501">
        <v>0</v>
      </c>
      <c r="Q482" s="501">
        <v>110</v>
      </c>
      <c r="R482" t="s">
        <v>7329</v>
      </c>
      <c r="S482">
        <v>0</v>
      </c>
    </row>
    <row r="483" spans="1:19">
      <c r="A483" t="s">
        <v>9201</v>
      </c>
      <c r="B483">
        <v>103</v>
      </c>
      <c r="C483" t="s">
        <v>7328</v>
      </c>
      <c r="D483" t="s">
        <v>10107</v>
      </c>
      <c r="E483" t="s">
        <v>10139</v>
      </c>
      <c r="F483" t="s">
        <v>10109</v>
      </c>
      <c r="G483" t="s">
        <v>10140</v>
      </c>
      <c r="H483">
        <v>-4</v>
      </c>
      <c r="L483" t="s">
        <v>7330</v>
      </c>
      <c r="M483" t="s">
        <v>7330</v>
      </c>
      <c r="N483" s="501">
        <v>115</v>
      </c>
      <c r="O483" s="501"/>
      <c r="P483" s="501">
        <v>0</v>
      </c>
      <c r="Q483" s="501">
        <v>115</v>
      </c>
      <c r="R483" t="s">
        <v>7329</v>
      </c>
      <c r="S483">
        <v>0</v>
      </c>
    </row>
    <row r="484" spans="1:19">
      <c r="A484" t="s">
        <v>9201</v>
      </c>
      <c r="B484">
        <v>103</v>
      </c>
      <c r="C484" t="s">
        <v>7328</v>
      </c>
      <c r="D484" t="s">
        <v>10107</v>
      </c>
      <c r="E484" t="s">
        <v>10141</v>
      </c>
      <c r="F484" t="s">
        <v>10109</v>
      </c>
      <c r="G484" t="s">
        <v>10142</v>
      </c>
      <c r="H484">
        <v>-4.25</v>
      </c>
      <c r="L484" t="s">
        <v>7330</v>
      </c>
      <c r="M484" t="s">
        <v>7330</v>
      </c>
      <c r="N484" s="501">
        <v>115</v>
      </c>
      <c r="O484" s="501"/>
      <c r="P484" s="501">
        <v>0</v>
      </c>
      <c r="Q484" s="501">
        <v>115</v>
      </c>
      <c r="R484" t="s">
        <v>7329</v>
      </c>
      <c r="S484">
        <v>0</v>
      </c>
    </row>
    <row r="485" spans="1:19">
      <c r="A485" t="s">
        <v>9201</v>
      </c>
      <c r="B485">
        <v>103</v>
      </c>
      <c r="C485" t="s">
        <v>7328</v>
      </c>
      <c r="D485" t="s">
        <v>10107</v>
      </c>
      <c r="E485" t="s">
        <v>10143</v>
      </c>
      <c r="F485" t="s">
        <v>10109</v>
      </c>
      <c r="G485" t="s">
        <v>10144</v>
      </c>
      <c r="H485">
        <v>-4.5</v>
      </c>
      <c r="L485" t="s">
        <v>7330</v>
      </c>
      <c r="M485" t="s">
        <v>7330</v>
      </c>
      <c r="N485" s="501">
        <v>40</v>
      </c>
      <c r="P485">
        <v>0</v>
      </c>
      <c r="Q485" s="501">
        <v>40</v>
      </c>
      <c r="R485" t="s">
        <v>7329</v>
      </c>
      <c r="S485">
        <v>0</v>
      </c>
    </row>
    <row r="486" spans="1:19">
      <c r="A486" t="s">
        <v>9201</v>
      </c>
      <c r="B486">
        <v>103</v>
      </c>
      <c r="C486" t="s">
        <v>7328</v>
      </c>
      <c r="D486" t="s">
        <v>10107</v>
      </c>
      <c r="E486" t="s">
        <v>10145</v>
      </c>
      <c r="F486" t="s">
        <v>10109</v>
      </c>
      <c r="G486" t="s">
        <v>10146</v>
      </c>
      <c r="H486">
        <v>-4.75</v>
      </c>
      <c r="L486" t="s">
        <v>7330</v>
      </c>
      <c r="M486" t="s">
        <v>7330</v>
      </c>
      <c r="N486" s="501">
        <v>120</v>
      </c>
      <c r="O486" s="501"/>
      <c r="P486" s="501">
        <v>0</v>
      </c>
      <c r="Q486" s="501">
        <v>120</v>
      </c>
      <c r="R486" t="s">
        <v>7329</v>
      </c>
      <c r="S486">
        <v>0</v>
      </c>
    </row>
    <row r="487" spans="1:19">
      <c r="A487" t="s">
        <v>9201</v>
      </c>
      <c r="B487">
        <v>103</v>
      </c>
      <c r="C487" t="s">
        <v>7328</v>
      </c>
      <c r="D487" t="s">
        <v>10107</v>
      </c>
      <c r="E487" t="s">
        <v>10147</v>
      </c>
      <c r="F487" t="s">
        <v>10109</v>
      </c>
      <c r="G487" t="s">
        <v>10148</v>
      </c>
      <c r="H487">
        <v>-5</v>
      </c>
      <c r="L487" t="s">
        <v>7330</v>
      </c>
      <c r="M487" t="s">
        <v>7330</v>
      </c>
      <c r="N487" s="501">
        <v>140</v>
      </c>
      <c r="O487" s="501"/>
      <c r="P487" s="501">
        <v>0</v>
      </c>
      <c r="Q487" s="501">
        <v>140</v>
      </c>
      <c r="R487" t="s">
        <v>7329</v>
      </c>
      <c r="S487">
        <v>0</v>
      </c>
    </row>
    <row r="488" spans="1:19">
      <c r="A488" t="s">
        <v>9201</v>
      </c>
      <c r="B488">
        <v>103</v>
      </c>
      <c r="C488" t="s">
        <v>7328</v>
      </c>
      <c r="D488" t="s">
        <v>10107</v>
      </c>
      <c r="E488" t="s">
        <v>10149</v>
      </c>
      <c r="F488" t="s">
        <v>10109</v>
      </c>
      <c r="G488" t="s">
        <v>10150</v>
      </c>
      <c r="H488">
        <v>-5.25</v>
      </c>
      <c r="L488" t="s">
        <v>7330</v>
      </c>
      <c r="M488" t="s">
        <v>7330</v>
      </c>
      <c r="N488" s="501">
        <v>35</v>
      </c>
      <c r="O488" s="501">
        <v>75</v>
      </c>
      <c r="P488" s="501">
        <v>0</v>
      </c>
      <c r="Q488" s="501">
        <v>110</v>
      </c>
      <c r="R488" t="s">
        <v>7329</v>
      </c>
      <c r="S488">
        <v>0</v>
      </c>
    </row>
    <row r="489" spans="1:19">
      <c r="A489" t="s">
        <v>9201</v>
      </c>
      <c r="B489">
        <v>103</v>
      </c>
      <c r="C489" t="s">
        <v>7328</v>
      </c>
      <c r="D489" t="s">
        <v>10107</v>
      </c>
      <c r="E489" t="s">
        <v>10151</v>
      </c>
      <c r="F489" t="s">
        <v>10109</v>
      </c>
      <c r="G489" t="s">
        <v>10152</v>
      </c>
      <c r="H489">
        <v>-5.5</v>
      </c>
      <c r="L489" t="s">
        <v>7330</v>
      </c>
      <c r="M489" t="s">
        <v>7330</v>
      </c>
      <c r="N489" s="501">
        <v>200</v>
      </c>
      <c r="O489" s="501"/>
      <c r="P489" s="501">
        <v>0</v>
      </c>
      <c r="Q489" s="501">
        <v>200</v>
      </c>
      <c r="R489" t="s">
        <v>7329</v>
      </c>
      <c r="S489">
        <v>0</v>
      </c>
    </row>
    <row r="490" spans="1:19">
      <c r="A490" t="s">
        <v>9201</v>
      </c>
      <c r="B490">
        <v>103</v>
      </c>
      <c r="C490" t="s">
        <v>7328</v>
      </c>
      <c r="D490" t="s">
        <v>10107</v>
      </c>
      <c r="E490" t="s">
        <v>10153</v>
      </c>
      <c r="F490" t="s">
        <v>10109</v>
      </c>
      <c r="G490" t="s">
        <v>10154</v>
      </c>
      <c r="H490">
        <v>-5.75</v>
      </c>
      <c r="L490" t="s">
        <v>7330</v>
      </c>
      <c r="M490" t="s">
        <v>7330</v>
      </c>
      <c r="N490" s="501">
        <v>50</v>
      </c>
      <c r="O490" s="501"/>
      <c r="P490" s="501">
        <v>0</v>
      </c>
      <c r="Q490" s="501">
        <v>50</v>
      </c>
      <c r="R490" t="s">
        <v>7329</v>
      </c>
      <c r="S490">
        <v>0</v>
      </c>
    </row>
    <row r="491" spans="1:19">
      <c r="A491" t="s">
        <v>9201</v>
      </c>
      <c r="B491">
        <v>103</v>
      </c>
      <c r="C491" t="s">
        <v>7328</v>
      </c>
      <c r="D491" t="s">
        <v>10107</v>
      </c>
      <c r="E491" t="s">
        <v>10155</v>
      </c>
      <c r="F491" t="s">
        <v>10109</v>
      </c>
      <c r="G491" t="s">
        <v>10156</v>
      </c>
      <c r="H491">
        <v>-6</v>
      </c>
      <c r="L491" t="s">
        <v>7330</v>
      </c>
      <c r="M491" t="s">
        <v>7330</v>
      </c>
      <c r="N491" s="501">
        <v>100</v>
      </c>
      <c r="O491" s="501"/>
      <c r="P491" s="501">
        <v>0</v>
      </c>
      <c r="Q491" s="501">
        <v>100</v>
      </c>
      <c r="R491" t="s">
        <v>7329</v>
      </c>
      <c r="S491">
        <v>0</v>
      </c>
    </row>
    <row r="492" spans="1:19">
      <c r="A492" t="s">
        <v>9201</v>
      </c>
      <c r="B492">
        <v>103</v>
      </c>
      <c r="C492" t="s">
        <v>7328</v>
      </c>
      <c r="D492" t="s">
        <v>10107</v>
      </c>
      <c r="E492" t="s">
        <v>10157</v>
      </c>
      <c r="F492" t="s">
        <v>10109</v>
      </c>
      <c r="G492" t="s">
        <v>10158</v>
      </c>
      <c r="H492">
        <v>-6.5</v>
      </c>
      <c r="L492" t="s">
        <v>7330</v>
      </c>
      <c r="M492" t="s">
        <v>7330</v>
      </c>
      <c r="N492" s="501">
        <v>140</v>
      </c>
      <c r="O492" s="501"/>
      <c r="P492" s="501">
        <v>0</v>
      </c>
      <c r="Q492" s="501">
        <v>140</v>
      </c>
      <c r="R492" t="s">
        <v>7329</v>
      </c>
      <c r="S492">
        <v>0</v>
      </c>
    </row>
    <row r="493" spans="1:19">
      <c r="A493" t="s">
        <v>9201</v>
      </c>
      <c r="B493">
        <v>103</v>
      </c>
      <c r="C493" t="s">
        <v>7328</v>
      </c>
      <c r="D493" t="s">
        <v>10107</v>
      </c>
      <c r="E493" t="s">
        <v>10159</v>
      </c>
      <c r="F493" t="s">
        <v>10109</v>
      </c>
      <c r="G493" t="s">
        <v>10160</v>
      </c>
      <c r="H493">
        <v>-7</v>
      </c>
      <c r="L493" t="s">
        <v>7330</v>
      </c>
      <c r="M493" t="s">
        <v>7330</v>
      </c>
      <c r="N493" s="501">
        <v>55</v>
      </c>
      <c r="O493" s="501"/>
      <c r="P493" s="501">
        <v>0</v>
      </c>
      <c r="Q493" s="501">
        <v>55</v>
      </c>
      <c r="R493" t="s">
        <v>7329</v>
      </c>
      <c r="S493">
        <v>0</v>
      </c>
    </row>
    <row r="494" spans="1:19">
      <c r="A494" t="s">
        <v>9201</v>
      </c>
      <c r="B494">
        <v>103</v>
      </c>
      <c r="C494" t="s">
        <v>7328</v>
      </c>
      <c r="D494" t="s">
        <v>10107</v>
      </c>
      <c r="E494" t="s">
        <v>10161</v>
      </c>
      <c r="F494" t="s">
        <v>10109</v>
      </c>
      <c r="G494" t="s">
        <v>10162</v>
      </c>
      <c r="H494">
        <v>-7.5</v>
      </c>
      <c r="L494" t="s">
        <v>7330</v>
      </c>
      <c r="M494" t="s">
        <v>7330</v>
      </c>
      <c r="N494" s="501">
        <v>110</v>
      </c>
      <c r="O494" s="501"/>
      <c r="P494" s="501">
        <v>0</v>
      </c>
      <c r="Q494" s="501">
        <v>110</v>
      </c>
      <c r="R494" t="s">
        <v>7329</v>
      </c>
      <c r="S494">
        <v>0</v>
      </c>
    </row>
    <row r="495" spans="1:19">
      <c r="A495" t="s">
        <v>9201</v>
      </c>
      <c r="B495">
        <v>103</v>
      </c>
      <c r="C495" t="s">
        <v>7328</v>
      </c>
      <c r="D495" t="s">
        <v>10163</v>
      </c>
      <c r="E495" t="s">
        <v>10164</v>
      </c>
      <c r="F495" t="s">
        <v>10165</v>
      </c>
      <c r="G495" t="s">
        <v>10166</v>
      </c>
      <c r="H495">
        <v>-0.25</v>
      </c>
      <c r="K495" t="s">
        <v>10167</v>
      </c>
      <c r="L495" t="s">
        <v>10168</v>
      </c>
      <c r="M495" t="s">
        <v>10169</v>
      </c>
      <c r="N495" s="501"/>
      <c r="O495" s="501">
        <v>500</v>
      </c>
      <c r="P495" s="501">
        <v>500</v>
      </c>
      <c r="Q495" s="501"/>
      <c r="R495" t="s">
        <v>7333</v>
      </c>
      <c r="S495">
        <v>0</v>
      </c>
    </row>
    <row r="496" spans="1:19">
      <c r="A496" t="s">
        <v>9201</v>
      </c>
      <c r="B496">
        <v>103</v>
      </c>
      <c r="C496" t="s">
        <v>7328</v>
      </c>
      <c r="D496" t="s">
        <v>10163</v>
      </c>
      <c r="E496" t="s">
        <v>10170</v>
      </c>
      <c r="F496" t="s">
        <v>10165</v>
      </c>
      <c r="G496" t="s">
        <v>10171</v>
      </c>
      <c r="H496">
        <v>-0.5</v>
      </c>
      <c r="K496" t="s">
        <v>10172</v>
      </c>
      <c r="L496" t="s">
        <v>10173</v>
      </c>
      <c r="M496" t="s">
        <v>10174</v>
      </c>
      <c r="N496" s="501"/>
      <c r="O496" s="501">
        <v>100</v>
      </c>
      <c r="P496" s="501">
        <v>100</v>
      </c>
      <c r="Q496" s="501"/>
      <c r="R496" t="s">
        <v>7333</v>
      </c>
      <c r="S496">
        <v>0</v>
      </c>
    </row>
    <row r="497" spans="1:19">
      <c r="A497" t="s">
        <v>9201</v>
      </c>
      <c r="B497">
        <v>103</v>
      </c>
      <c r="C497" t="s">
        <v>7328</v>
      </c>
      <c r="D497" t="s">
        <v>10175</v>
      </c>
      <c r="E497" t="s">
        <v>12133</v>
      </c>
      <c r="F497" t="s">
        <v>10177</v>
      </c>
      <c r="G497" t="s">
        <v>12134</v>
      </c>
      <c r="H497">
        <v>0</v>
      </c>
      <c r="K497" t="s">
        <v>9839</v>
      </c>
      <c r="L497" t="s">
        <v>12135</v>
      </c>
      <c r="M497" t="s">
        <v>12136</v>
      </c>
      <c r="N497" s="501"/>
      <c r="O497" s="501">
        <v>20</v>
      </c>
      <c r="P497" s="501">
        <v>20</v>
      </c>
      <c r="Q497" s="501"/>
      <c r="R497" t="s">
        <v>7329</v>
      </c>
      <c r="S497">
        <v>0</v>
      </c>
    </row>
    <row r="498" spans="1:19">
      <c r="A498" t="s">
        <v>9201</v>
      </c>
      <c r="B498">
        <v>103</v>
      </c>
      <c r="C498" t="s">
        <v>7328</v>
      </c>
      <c r="D498" t="s">
        <v>10175</v>
      </c>
      <c r="E498" t="s">
        <v>10176</v>
      </c>
      <c r="F498" t="s">
        <v>10177</v>
      </c>
      <c r="G498" t="s">
        <v>10178</v>
      </c>
      <c r="H498">
        <v>-1.5</v>
      </c>
      <c r="K498" t="s">
        <v>10179</v>
      </c>
      <c r="L498" t="s">
        <v>10180</v>
      </c>
      <c r="M498" t="s">
        <v>10181</v>
      </c>
      <c r="N498" s="501"/>
      <c r="O498">
        <v>5</v>
      </c>
      <c r="P498">
        <v>5</v>
      </c>
      <c r="Q498" s="501"/>
      <c r="R498" t="s">
        <v>7329</v>
      </c>
      <c r="S498">
        <v>0</v>
      </c>
    </row>
    <row r="499" spans="1:19">
      <c r="A499" t="s">
        <v>9201</v>
      </c>
      <c r="B499">
        <v>103</v>
      </c>
      <c r="C499" t="s">
        <v>7328</v>
      </c>
      <c r="D499" t="s">
        <v>10175</v>
      </c>
      <c r="E499" t="s">
        <v>10176</v>
      </c>
      <c r="F499" t="s">
        <v>10177</v>
      </c>
      <c r="G499" t="s">
        <v>10178</v>
      </c>
      <c r="H499">
        <v>-1.5</v>
      </c>
      <c r="K499" t="s">
        <v>10179</v>
      </c>
      <c r="L499" t="s">
        <v>10182</v>
      </c>
      <c r="M499" t="s">
        <v>10183</v>
      </c>
      <c r="N499" s="501"/>
      <c r="O499" s="501">
        <v>5</v>
      </c>
      <c r="P499" s="501">
        <v>5</v>
      </c>
      <c r="Q499" s="501"/>
      <c r="R499" t="s">
        <v>7329</v>
      </c>
      <c r="S499">
        <v>0</v>
      </c>
    </row>
    <row r="500" spans="1:19">
      <c r="A500" t="s">
        <v>9201</v>
      </c>
      <c r="B500">
        <v>103</v>
      </c>
      <c r="C500" t="s">
        <v>7328</v>
      </c>
      <c r="D500" t="s">
        <v>10175</v>
      </c>
      <c r="E500" t="s">
        <v>10184</v>
      </c>
      <c r="F500" t="s">
        <v>10177</v>
      </c>
      <c r="G500" t="s">
        <v>10185</v>
      </c>
      <c r="H500">
        <v>-4.25</v>
      </c>
      <c r="K500" t="s">
        <v>10186</v>
      </c>
      <c r="L500" t="s">
        <v>10187</v>
      </c>
      <c r="M500" t="s">
        <v>10188</v>
      </c>
      <c r="N500" s="501"/>
      <c r="O500" s="501">
        <v>10</v>
      </c>
      <c r="P500" s="501">
        <v>10</v>
      </c>
      <c r="Q500" s="501"/>
      <c r="R500" t="s">
        <v>7329</v>
      </c>
      <c r="S500">
        <v>0</v>
      </c>
    </row>
    <row r="501" spans="1:19">
      <c r="A501" t="s">
        <v>9201</v>
      </c>
      <c r="B501">
        <v>103</v>
      </c>
      <c r="C501" t="s">
        <v>7328</v>
      </c>
      <c r="D501" t="s">
        <v>10175</v>
      </c>
      <c r="E501" t="s">
        <v>12137</v>
      </c>
      <c r="F501" t="s">
        <v>10177</v>
      </c>
      <c r="G501" t="s">
        <v>12138</v>
      </c>
      <c r="H501">
        <v>-7.5</v>
      </c>
      <c r="K501" t="s">
        <v>12139</v>
      </c>
      <c r="L501" t="s">
        <v>12140</v>
      </c>
      <c r="M501" t="s">
        <v>12141</v>
      </c>
      <c r="N501" s="501"/>
      <c r="O501" s="501">
        <v>20</v>
      </c>
      <c r="P501" s="501">
        <v>20</v>
      </c>
      <c r="Q501" s="501"/>
      <c r="R501" t="s">
        <v>7329</v>
      </c>
      <c r="S501">
        <v>0</v>
      </c>
    </row>
    <row r="502" spans="1:19">
      <c r="A502" t="s">
        <v>9201</v>
      </c>
      <c r="B502">
        <v>103</v>
      </c>
      <c r="C502" t="s">
        <v>7328</v>
      </c>
      <c r="D502" t="s">
        <v>10189</v>
      </c>
      <c r="E502" t="s">
        <v>10190</v>
      </c>
      <c r="F502" t="s">
        <v>10191</v>
      </c>
      <c r="G502" t="s">
        <v>10192</v>
      </c>
      <c r="H502">
        <v>-0.5</v>
      </c>
      <c r="L502" t="s">
        <v>7330</v>
      </c>
      <c r="M502" t="s">
        <v>7330</v>
      </c>
      <c r="N502" s="501">
        <v>85</v>
      </c>
      <c r="O502" s="501"/>
      <c r="P502" s="501">
        <v>0</v>
      </c>
      <c r="Q502" s="501">
        <v>85</v>
      </c>
      <c r="R502" t="s">
        <v>7332</v>
      </c>
      <c r="S502">
        <v>0</v>
      </c>
    </row>
    <row r="503" spans="1:19">
      <c r="A503" t="s">
        <v>9201</v>
      </c>
      <c r="B503">
        <v>103</v>
      </c>
      <c r="C503" t="s">
        <v>7328</v>
      </c>
      <c r="D503" t="s">
        <v>10189</v>
      </c>
      <c r="E503" t="s">
        <v>10193</v>
      </c>
      <c r="F503" t="s">
        <v>10191</v>
      </c>
      <c r="G503" t="s">
        <v>10194</v>
      </c>
      <c r="H503">
        <v>-0.75</v>
      </c>
      <c r="L503" t="s">
        <v>7330</v>
      </c>
      <c r="M503" t="s">
        <v>7330</v>
      </c>
      <c r="N503" s="501">
        <v>1587</v>
      </c>
      <c r="O503" s="501"/>
      <c r="P503" s="501">
        <v>0</v>
      </c>
      <c r="Q503" s="501">
        <v>1587</v>
      </c>
      <c r="R503" t="s">
        <v>7332</v>
      </c>
      <c r="S503">
        <v>0</v>
      </c>
    </row>
    <row r="504" spans="1:19">
      <c r="A504" t="s">
        <v>9201</v>
      </c>
      <c r="B504">
        <v>103</v>
      </c>
      <c r="C504" t="s">
        <v>7328</v>
      </c>
      <c r="D504" t="s">
        <v>10189</v>
      </c>
      <c r="E504" t="s">
        <v>10195</v>
      </c>
      <c r="F504" t="s">
        <v>10191</v>
      </c>
      <c r="G504" t="s">
        <v>10196</v>
      </c>
      <c r="H504">
        <v>-1.25</v>
      </c>
      <c r="L504" t="s">
        <v>7330</v>
      </c>
      <c r="M504" t="s">
        <v>7330</v>
      </c>
      <c r="N504" s="501">
        <v>1256</v>
      </c>
      <c r="O504" s="501"/>
      <c r="P504" s="501">
        <v>0</v>
      </c>
      <c r="Q504" s="501">
        <v>1256</v>
      </c>
      <c r="R504" t="s">
        <v>7332</v>
      </c>
      <c r="S504">
        <v>0</v>
      </c>
    </row>
    <row r="505" spans="1:19">
      <c r="A505" t="s">
        <v>9201</v>
      </c>
      <c r="B505">
        <v>103</v>
      </c>
      <c r="C505" t="s">
        <v>7328</v>
      </c>
      <c r="D505" t="s">
        <v>10189</v>
      </c>
      <c r="E505" t="s">
        <v>10197</v>
      </c>
      <c r="F505" t="s">
        <v>10191</v>
      </c>
      <c r="G505" t="s">
        <v>10198</v>
      </c>
      <c r="H505">
        <v>-3.75</v>
      </c>
      <c r="L505" t="s">
        <v>7330</v>
      </c>
      <c r="M505" t="s">
        <v>7330</v>
      </c>
      <c r="N505" s="501">
        <v>35</v>
      </c>
      <c r="O505" s="501"/>
      <c r="P505" s="501">
        <v>0</v>
      </c>
      <c r="Q505" s="501">
        <v>35</v>
      </c>
      <c r="R505" t="s">
        <v>7332</v>
      </c>
      <c r="S505">
        <v>0</v>
      </c>
    </row>
    <row r="506" spans="1:19">
      <c r="A506" t="s">
        <v>9201</v>
      </c>
      <c r="B506">
        <v>103</v>
      </c>
      <c r="C506" t="s">
        <v>7328</v>
      </c>
      <c r="D506" t="s">
        <v>10189</v>
      </c>
      <c r="E506" t="s">
        <v>10199</v>
      </c>
      <c r="F506" t="s">
        <v>10191</v>
      </c>
      <c r="G506" t="s">
        <v>10200</v>
      </c>
      <c r="H506">
        <v>-4.5</v>
      </c>
      <c r="L506" t="s">
        <v>7330</v>
      </c>
      <c r="M506" t="s">
        <v>7330</v>
      </c>
      <c r="N506" s="501">
        <v>55</v>
      </c>
      <c r="P506">
        <v>0</v>
      </c>
      <c r="Q506" s="501">
        <v>55</v>
      </c>
      <c r="R506" t="s">
        <v>7332</v>
      </c>
      <c r="S506">
        <v>0</v>
      </c>
    </row>
    <row r="507" spans="1:19">
      <c r="A507" t="s">
        <v>9201</v>
      </c>
      <c r="B507">
        <v>103</v>
      </c>
      <c r="C507" t="s">
        <v>7328</v>
      </c>
      <c r="D507" t="s">
        <v>10189</v>
      </c>
      <c r="E507" t="s">
        <v>10201</v>
      </c>
      <c r="F507" t="s">
        <v>10191</v>
      </c>
      <c r="G507" t="s">
        <v>10202</v>
      </c>
      <c r="H507">
        <v>-7.5</v>
      </c>
      <c r="L507" t="s">
        <v>7330</v>
      </c>
      <c r="M507" t="s">
        <v>7330</v>
      </c>
      <c r="N507" s="501">
        <v>235</v>
      </c>
      <c r="P507">
        <v>0</v>
      </c>
      <c r="Q507" s="501">
        <v>235</v>
      </c>
      <c r="R507" t="s">
        <v>7332</v>
      </c>
      <c r="S507">
        <v>0</v>
      </c>
    </row>
    <row r="508" spans="1:19">
      <c r="A508" t="s">
        <v>9201</v>
      </c>
      <c r="B508">
        <v>103</v>
      </c>
      <c r="C508" t="s">
        <v>7328</v>
      </c>
      <c r="D508" t="s">
        <v>10189</v>
      </c>
      <c r="E508" t="s">
        <v>10203</v>
      </c>
      <c r="F508" t="s">
        <v>10191</v>
      </c>
      <c r="G508" t="s">
        <v>10204</v>
      </c>
      <c r="H508">
        <v>-10.5</v>
      </c>
      <c r="L508" t="s">
        <v>7330</v>
      </c>
      <c r="M508" t="s">
        <v>7330</v>
      </c>
      <c r="N508" s="501">
        <v>15</v>
      </c>
      <c r="P508">
        <v>0</v>
      </c>
      <c r="Q508" s="501">
        <v>15</v>
      </c>
      <c r="R508" t="s">
        <v>7332</v>
      </c>
      <c r="S508">
        <v>0</v>
      </c>
    </row>
    <row r="509" spans="1:19">
      <c r="A509" t="s">
        <v>9201</v>
      </c>
      <c r="B509">
        <v>103</v>
      </c>
      <c r="C509" t="s">
        <v>7328</v>
      </c>
      <c r="D509" t="s">
        <v>10189</v>
      </c>
      <c r="E509" t="s">
        <v>10205</v>
      </c>
      <c r="F509" t="s">
        <v>10191</v>
      </c>
      <c r="G509" t="s">
        <v>10206</v>
      </c>
      <c r="H509">
        <v>-11</v>
      </c>
      <c r="L509" t="s">
        <v>7330</v>
      </c>
      <c r="M509" t="s">
        <v>7330</v>
      </c>
      <c r="N509" s="501">
        <v>35</v>
      </c>
      <c r="P509">
        <v>0</v>
      </c>
      <c r="Q509" s="501">
        <v>35</v>
      </c>
      <c r="R509" t="s">
        <v>7332</v>
      </c>
      <c r="S509">
        <v>0</v>
      </c>
    </row>
    <row r="510" spans="1:19">
      <c r="A510" t="s">
        <v>9201</v>
      </c>
      <c r="B510">
        <v>103</v>
      </c>
      <c r="C510" t="s">
        <v>7328</v>
      </c>
      <c r="D510" t="s">
        <v>10189</v>
      </c>
      <c r="E510" t="s">
        <v>10207</v>
      </c>
      <c r="F510" t="s">
        <v>10191</v>
      </c>
      <c r="G510" t="s">
        <v>10208</v>
      </c>
      <c r="H510">
        <v>-11.5</v>
      </c>
      <c r="L510" t="s">
        <v>7330</v>
      </c>
      <c r="M510" t="s">
        <v>7330</v>
      </c>
      <c r="N510" s="501">
        <v>65</v>
      </c>
      <c r="P510">
        <v>0</v>
      </c>
      <c r="Q510" s="501">
        <v>65</v>
      </c>
      <c r="R510" t="s">
        <v>7332</v>
      </c>
      <c r="S510">
        <v>0</v>
      </c>
    </row>
    <row r="511" spans="1:19">
      <c r="A511" t="s">
        <v>9201</v>
      </c>
      <c r="B511">
        <v>103</v>
      </c>
      <c r="C511" t="s">
        <v>7328</v>
      </c>
      <c r="D511" t="s">
        <v>10189</v>
      </c>
      <c r="E511" t="s">
        <v>10209</v>
      </c>
      <c r="F511" t="s">
        <v>10191</v>
      </c>
      <c r="G511" t="s">
        <v>10210</v>
      </c>
      <c r="H511">
        <v>-12</v>
      </c>
      <c r="L511" t="s">
        <v>7330</v>
      </c>
      <c r="M511" t="s">
        <v>7330</v>
      </c>
      <c r="N511" s="501">
        <v>110</v>
      </c>
      <c r="P511">
        <v>0</v>
      </c>
      <c r="Q511" s="501">
        <v>110</v>
      </c>
      <c r="R511" t="s">
        <v>7332</v>
      </c>
      <c r="S511">
        <v>0</v>
      </c>
    </row>
    <row r="512" spans="1:19">
      <c r="A512" t="s">
        <v>9201</v>
      </c>
      <c r="B512">
        <v>103</v>
      </c>
      <c r="C512" t="s">
        <v>7328</v>
      </c>
      <c r="D512" t="s">
        <v>10211</v>
      </c>
      <c r="E512" t="s">
        <v>10212</v>
      </c>
      <c r="F512" t="s">
        <v>10213</v>
      </c>
      <c r="G512" t="s">
        <v>9836</v>
      </c>
      <c r="H512">
        <v>-0.5</v>
      </c>
      <c r="L512" t="s">
        <v>7330</v>
      </c>
      <c r="M512" t="s">
        <v>7330</v>
      </c>
      <c r="N512" s="501">
        <v>31714</v>
      </c>
      <c r="P512">
        <v>0</v>
      </c>
      <c r="Q512" s="501">
        <v>31714</v>
      </c>
      <c r="R512" t="s">
        <v>7332</v>
      </c>
      <c r="S512">
        <v>0</v>
      </c>
    </row>
    <row r="513" spans="1:19">
      <c r="A513" t="s">
        <v>9201</v>
      </c>
      <c r="B513">
        <v>103</v>
      </c>
      <c r="C513" t="s">
        <v>7328</v>
      </c>
      <c r="D513" t="s">
        <v>10211</v>
      </c>
      <c r="E513" t="s">
        <v>10214</v>
      </c>
      <c r="F513" t="s">
        <v>10213</v>
      </c>
      <c r="G513" t="s">
        <v>9847</v>
      </c>
      <c r="H513">
        <v>-0.75</v>
      </c>
      <c r="L513" t="s">
        <v>7330</v>
      </c>
      <c r="M513" t="s">
        <v>7330</v>
      </c>
      <c r="N513" s="501">
        <v>24278</v>
      </c>
      <c r="O513" s="501"/>
      <c r="P513">
        <v>0</v>
      </c>
      <c r="Q513" s="501">
        <v>24278</v>
      </c>
      <c r="R513" t="s">
        <v>7332</v>
      </c>
      <c r="S513">
        <v>0</v>
      </c>
    </row>
    <row r="514" spans="1:19">
      <c r="A514" t="s">
        <v>9201</v>
      </c>
      <c r="B514">
        <v>103</v>
      </c>
      <c r="C514" t="s">
        <v>7328</v>
      </c>
      <c r="D514" t="s">
        <v>10211</v>
      </c>
      <c r="E514" t="s">
        <v>10215</v>
      </c>
      <c r="F514" t="s">
        <v>10213</v>
      </c>
      <c r="G514" t="s">
        <v>9866</v>
      </c>
      <c r="H514">
        <v>-1</v>
      </c>
      <c r="L514" t="s">
        <v>7330</v>
      </c>
      <c r="M514" t="s">
        <v>7330</v>
      </c>
      <c r="N514" s="501">
        <v>33180</v>
      </c>
      <c r="O514" s="501"/>
      <c r="P514">
        <v>30</v>
      </c>
      <c r="Q514" s="501">
        <v>33150</v>
      </c>
      <c r="R514" t="s">
        <v>7332</v>
      </c>
      <c r="S514">
        <v>0</v>
      </c>
    </row>
    <row r="515" spans="1:19">
      <c r="A515" t="s">
        <v>9201</v>
      </c>
      <c r="B515">
        <v>103</v>
      </c>
      <c r="C515" t="s">
        <v>7328</v>
      </c>
      <c r="D515" t="s">
        <v>10211</v>
      </c>
      <c r="E515" t="s">
        <v>10216</v>
      </c>
      <c r="F515" t="s">
        <v>10213</v>
      </c>
      <c r="G515" t="s">
        <v>9870</v>
      </c>
      <c r="H515">
        <v>-1.25</v>
      </c>
      <c r="L515" t="s">
        <v>7330</v>
      </c>
      <c r="M515" t="s">
        <v>7330</v>
      </c>
      <c r="N515" s="501">
        <v>53413</v>
      </c>
      <c r="O515" s="501"/>
      <c r="P515">
        <v>0</v>
      </c>
      <c r="Q515" s="501">
        <v>53413</v>
      </c>
      <c r="R515" t="s">
        <v>7332</v>
      </c>
      <c r="S515">
        <v>0</v>
      </c>
    </row>
    <row r="516" spans="1:19">
      <c r="A516" t="s">
        <v>9201</v>
      </c>
      <c r="B516">
        <v>103</v>
      </c>
      <c r="C516" t="s">
        <v>7328</v>
      </c>
      <c r="D516" t="s">
        <v>10211</v>
      </c>
      <c r="E516" t="s">
        <v>10217</v>
      </c>
      <c r="F516" t="s">
        <v>10213</v>
      </c>
      <c r="G516" t="s">
        <v>9873</v>
      </c>
      <c r="H516">
        <v>-1.5</v>
      </c>
      <c r="L516" t="s">
        <v>7330</v>
      </c>
      <c r="M516" t="s">
        <v>7330</v>
      </c>
      <c r="N516" s="501">
        <v>31158</v>
      </c>
      <c r="O516" s="501"/>
      <c r="P516">
        <v>0</v>
      </c>
      <c r="Q516" s="501">
        <v>31158</v>
      </c>
      <c r="R516" t="s">
        <v>7332</v>
      </c>
      <c r="S516">
        <v>0</v>
      </c>
    </row>
    <row r="517" spans="1:19">
      <c r="A517" t="s">
        <v>9201</v>
      </c>
      <c r="B517">
        <v>103</v>
      </c>
      <c r="C517" t="s">
        <v>7328</v>
      </c>
      <c r="D517" t="s">
        <v>10211</v>
      </c>
      <c r="E517" t="s">
        <v>10218</v>
      </c>
      <c r="F517" t="s">
        <v>10213</v>
      </c>
      <c r="G517" t="s">
        <v>9877</v>
      </c>
      <c r="H517">
        <v>-1.75</v>
      </c>
      <c r="L517" t="s">
        <v>7330</v>
      </c>
      <c r="M517" t="s">
        <v>7330</v>
      </c>
      <c r="N517" s="501">
        <v>22708</v>
      </c>
      <c r="O517" s="501"/>
      <c r="P517">
        <v>30</v>
      </c>
      <c r="Q517" s="501">
        <v>22678</v>
      </c>
      <c r="R517" t="s">
        <v>7332</v>
      </c>
      <c r="S517">
        <v>0</v>
      </c>
    </row>
    <row r="518" spans="1:19">
      <c r="A518" t="s">
        <v>9201</v>
      </c>
      <c r="B518">
        <v>103</v>
      </c>
      <c r="C518" t="s">
        <v>7328</v>
      </c>
      <c r="D518" t="s">
        <v>10211</v>
      </c>
      <c r="E518" t="s">
        <v>10219</v>
      </c>
      <c r="F518" t="s">
        <v>10213</v>
      </c>
      <c r="G518" t="s">
        <v>9880</v>
      </c>
      <c r="H518">
        <v>-2</v>
      </c>
      <c r="L518" t="s">
        <v>7330</v>
      </c>
      <c r="M518" t="s">
        <v>7330</v>
      </c>
      <c r="N518" s="501">
        <v>42574</v>
      </c>
      <c r="P518">
        <v>0</v>
      </c>
      <c r="Q518" s="501">
        <v>42574</v>
      </c>
      <c r="R518" t="s">
        <v>7332</v>
      </c>
      <c r="S518">
        <v>0</v>
      </c>
    </row>
    <row r="519" spans="1:19">
      <c r="A519" t="s">
        <v>9201</v>
      </c>
      <c r="B519">
        <v>103</v>
      </c>
      <c r="C519" t="s">
        <v>7328</v>
      </c>
      <c r="D519" t="s">
        <v>10211</v>
      </c>
      <c r="E519" t="s">
        <v>10220</v>
      </c>
      <c r="F519" t="s">
        <v>10213</v>
      </c>
      <c r="G519" t="s">
        <v>9884</v>
      </c>
      <c r="H519">
        <v>-2.25</v>
      </c>
      <c r="L519" t="s">
        <v>7330</v>
      </c>
      <c r="M519" t="s">
        <v>7330</v>
      </c>
      <c r="N519" s="501">
        <v>65343</v>
      </c>
      <c r="O519" s="501"/>
      <c r="P519">
        <v>0</v>
      </c>
      <c r="Q519" s="501">
        <v>65343</v>
      </c>
      <c r="R519" t="s">
        <v>7332</v>
      </c>
      <c r="S519">
        <v>0</v>
      </c>
    </row>
    <row r="520" spans="1:19">
      <c r="A520" t="s">
        <v>9201</v>
      </c>
      <c r="B520">
        <v>103</v>
      </c>
      <c r="C520" t="s">
        <v>7328</v>
      </c>
      <c r="D520" t="s">
        <v>10211</v>
      </c>
      <c r="E520" t="s">
        <v>10221</v>
      </c>
      <c r="F520" t="s">
        <v>10213</v>
      </c>
      <c r="G520" t="s">
        <v>9888</v>
      </c>
      <c r="H520">
        <v>-2.5</v>
      </c>
      <c r="L520" t="s">
        <v>7330</v>
      </c>
      <c r="M520" t="s">
        <v>7330</v>
      </c>
      <c r="N520" s="501">
        <v>23676</v>
      </c>
      <c r="P520">
        <v>30</v>
      </c>
      <c r="Q520" s="501">
        <v>23646</v>
      </c>
      <c r="R520" t="s">
        <v>7332</v>
      </c>
      <c r="S520">
        <v>0</v>
      </c>
    </row>
    <row r="521" spans="1:19">
      <c r="A521" t="s">
        <v>9201</v>
      </c>
      <c r="B521">
        <v>103</v>
      </c>
      <c r="C521" t="s">
        <v>7328</v>
      </c>
      <c r="D521" t="s">
        <v>10211</v>
      </c>
      <c r="E521" t="s">
        <v>10222</v>
      </c>
      <c r="F521" t="s">
        <v>10213</v>
      </c>
      <c r="G521" t="s">
        <v>9892</v>
      </c>
      <c r="H521">
        <v>-2.75</v>
      </c>
      <c r="L521" t="s">
        <v>7330</v>
      </c>
      <c r="M521" t="s">
        <v>7330</v>
      </c>
      <c r="N521" s="501">
        <v>45091</v>
      </c>
      <c r="O521" s="501"/>
      <c r="P521">
        <v>80</v>
      </c>
      <c r="Q521" s="501">
        <v>45011</v>
      </c>
      <c r="R521" t="s">
        <v>7332</v>
      </c>
      <c r="S521">
        <v>0</v>
      </c>
    </row>
    <row r="522" spans="1:19">
      <c r="A522" t="s">
        <v>9201</v>
      </c>
      <c r="B522">
        <v>103</v>
      </c>
      <c r="C522" t="s">
        <v>7328</v>
      </c>
      <c r="D522" t="s">
        <v>10211</v>
      </c>
      <c r="E522" t="s">
        <v>10223</v>
      </c>
      <c r="F522" t="s">
        <v>10213</v>
      </c>
      <c r="G522" t="s">
        <v>9896</v>
      </c>
      <c r="H522">
        <v>-3</v>
      </c>
      <c r="L522" t="s">
        <v>7330</v>
      </c>
      <c r="M522" t="s">
        <v>7330</v>
      </c>
      <c r="N522" s="501">
        <v>17434</v>
      </c>
      <c r="O522" s="501"/>
      <c r="P522">
        <v>0</v>
      </c>
      <c r="Q522" s="501">
        <v>17434</v>
      </c>
      <c r="R522" t="s">
        <v>7332</v>
      </c>
      <c r="S522">
        <v>0</v>
      </c>
    </row>
    <row r="523" spans="1:19">
      <c r="A523" t="s">
        <v>9201</v>
      </c>
      <c r="B523">
        <v>103</v>
      </c>
      <c r="C523" t="s">
        <v>7328</v>
      </c>
      <c r="D523" t="s">
        <v>10211</v>
      </c>
      <c r="E523" t="s">
        <v>10224</v>
      </c>
      <c r="F523" t="s">
        <v>10213</v>
      </c>
      <c r="G523" t="s">
        <v>9900</v>
      </c>
      <c r="H523">
        <v>-3.25</v>
      </c>
      <c r="L523" t="s">
        <v>7330</v>
      </c>
      <c r="M523" t="s">
        <v>7330</v>
      </c>
      <c r="N523" s="501">
        <v>34962</v>
      </c>
      <c r="P523">
        <v>0</v>
      </c>
      <c r="Q523" s="501">
        <v>34962</v>
      </c>
      <c r="R523" t="s">
        <v>7332</v>
      </c>
      <c r="S523">
        <v>0</v>
      </c>
    </row>
    <row r="524" spans="1:19">
      <c r="A524" t="s">
        <v>9201</v>
      </c>
      <c r="B524">
        <v>103</v>
      </c>
      <c r="C524" t="s">
        <v>7328</v>
      </c>
      <c r="D524" t="s">
        <v>10211</v>
      </c>
      <c r="E524" t="s">
        <v>10225</v>
      </c>
      <c r="F524" t="s">
        <v>10213</v>
      </c>
      <c r="G524" t="s">
        <v>9903</v>
      </c>
      <c r="H524">
        <v>-3.5</v>
      </c>
      <c r="L524" t="s">
        <v>7330</v>
      </c>
      <c r="M524" t="s">
        <v>7330</v>
      </c>
      <c r="N524" s="501">
        <v>59197</v>
      </c>
      <c r="O524" s="501"/>
      <c r="P524">
        <v>60</v>
      </c>
      <c r="Q524" s="501">
        <v>59137</v>
      </c>
      <c r="R524" t="s">
        <v>7332</v>
      </c>
      <c r="S524">
        <v>0</v>
      </c>
    </row>
    <row r="525" spans="1:19">
      <c r="A525" t="s">
        <v>9201</v>
      </c>
      <c r="B525">
        <v>103</v>
      </c>
      <c r="C525" t="s">
        <v>7328</v>
      </c>
      <c r="D525" t="s">
        <v>10211</v>
      </c>
      <c r="E525" t="s">
        <v>10226</v>
      </c>
      <c r="F525" t="s">
        <v>10213</v>
      </c>
      <c r="G525" t="s">
        <v>9906</v>
      </c>
      <c r="H525">
        <v>-3.75</v>
      </c>
      <c r="L525" t="s">
        <v>7330</v>
      </c>
      <c r="M525" t="s">
        <v>7330</v>
      </c>
      <c r="N525" s="501">
        <v>17222</v>
      </c>
      <c r="O525" s="501"/>
      <c r="P525">
        <v>0</v>
      </c>
      <c r="Q525" s="501">
        <v>17222</v>
      </c>
      <c r="R525" t="s">
        <v>7332</v>
      </c>
      <c r="S525">
        <v>0</v>
      </c>
    </row>
    <row r="526" spans="1:19">
      <c r="A526" t="s">
        <v>9201</v>
      </c>
      <c r="B526">
        <v>103</v>
      </c>
      <c r="C526" t="s">
        <v>7328</v>
      </c>
      <c r="D526" t="s">
        <v>10211</v>
      </c>
      <c r="E526" t="s">
        <v>10227</v>
      </c>
      <c r="F526" t="s">
        <v>10213</v>
      </c>
      <c r="G526" t="s">
        <v>9909</v>
      </c>
      <c r="H526">
        <v>-4</v>
      </c>
      <c r="L526" t="s">
        <v>7330</v>
      </c>
      <c r="M526" t="s">
        <v>7330</v>
      </c>
      <c r="N526" s="501">
        <v>25744</v>
      </c>
      <c r="O526" s="501"/>
      <c r="P526">
        <v>50</v>
      </c>
      <c r="Q526" s="501">
        <v>25694</v>
      </c>
      <c r="R526" t="s">
        <v>7332</v>
      </c>
      <c r="S526">
        <v>0</v>
      </c>
    </row>
    <row r="527" spans="1:19">
      <c r="A527" t="s">
        <v>9201</v>
      </c>
      <c r="B527">
        <v>103</v>
      </c>
      <c r="C527" t="s">
        <v>7328</v>
      </c>
      <c r="D527" t="s">
        <v>10211</v>
      </c>
      <c r="E527" t="s">
        <v>10228</v>
      </c>
      <c r="F527" t="s">
        <v>10213</v>
      </c>
      <c r="G527" t="s">
        <v>9911</v>
      </c>
      <c r="H527">
        <v>-4.25</v>
      </c>
      <c r="L527" t="s">
        <v>7330</v>
      </c>
      <c r="M527" t="s">
        <v>7330</v>
      </c>
      <c r="N527" s="501">
        <v>41637</v>
      </c>
      <c r="P527">
        <v>0</v>
      </c>
      <c r="Q527" s="501">
        <v>41637</v>
      </c>
      <c r="R527" t="s">
        <v>7332</v>
      </c>
      <c r="S527">
        <v>0</v>
      </c>
    </row>
    <row r="528" spans="1:19">
      <c r="A528" t="s">
        <v>9201</v>
      </c>
      <c r="B528">
        <v>103</v>
      </c>
      <c r="C528" t="s">
        <v>7328</v>
      </c>
      <c r="D528" t="s">
        <v>10211</v>
      </c>
      <c r="E528" t="s">
        <v>10229</v>
      </c>
      <c r="F528" t="s">
        <v>10213</v>
      </c>
      <c r="G528" t="s">
        <v>9914</v>
      </c>
      <c r="H528">
        <v>-4.5</v>
      </c>
      <c r="L528" t="s">
        <v>7330</v>
      </c>
      <c r="M528" t="s">
        <v>7330</v>
      </c>
      <c r="N528" s="501">
        <v>22760</v>
      </c>
      <c r="O528" s="501"/>
      <c r="P528">
        <v>100</v>
      </c>
      <c r="Q528" s="501">
        <v>22660</v>
      </c>
      <c r="R528" t="s">
        <v>7332</v>
      </c>
      <c r="S528">
        <v>0</v>
      </c>
    </row>
    <row r="529" spans="1:19">
      <c r="A529" t="s">
        <v>9201</v>
      </c>
      <c r="B529">
        <v>103</v>
      </c>
      <c r="C529" t="s">
        <v>7328</v>
      </c>
      <c r="D529" t="s">
        <v>10211</v>
      </c>
      <c r="E529" t="s">
        <v>10230</v>
      </c>
      <c r="F529" t="s">
        <v>10213</v>
      </c>
      <c r="G529" t="s">
        <v>9918</v>
      </c>
      <c r="H529">
        <v>-4.75</v>
      </c>
      <c r="L529" t="s">
        <v>7330</v>
      </c>
      <c r="M529" t="s">
        <v>7330</v>
      </c>
      <c r="N529" s="501">
        <v>14327</v>
      </c>
      <c r="P529">
        <v>0</v>
      </c>
      <c r="Q529" s="501">
        <v>14327</v>
      </c>
      <c r="R529" t="s">
        <v>7332</v>
      </c>
      <c r="S529">
        <v>0</v>
      </c>
    </row>
    <row r="530" spans="1:19">
      <c r="A530" t="s">
        <v>9201</v>
      </c>
      <c r="B530">
        <v>103</v>
      </c>
      <c r="C530" t="s">
        <v>7328</v>
      </c>
      <c r="D530" t="s">
        <v>10211</v>
      </c>
      <c r="E530" t="s">
        <v>10231</v>
      </c>
      <c r="F530" t="s">
        <v>10213</v>
      </c>
      <c r="G530" t="s">
        <v>9922</v>
      </c>
      <c r="H530">
        <v>-5</v>
      </c>
      <c r="L530" t="s">
        <v>7330</v>
      </c>
      <c r="M530" t="s">
        <v>7330</v>
      </c>
      <c r="N530" s="501">
        <v>10481</v>
      </c>
      <c r="P530">
        <v>0</v>
      </c>
      <c r="Q530" s="501">
        <v>10481</v>
      </c>
      <c r="R530" t="s">
        <v>7332</v>
      </c>
      <c r="S530">
        <v>0</v>
      </c>
    </row>
    <row r="531" spans="1:19">
      <c r="A531" t="s">
        <v>9201</v>
      </c>
      <c r="B531">
        <v>103</v>
      </c>
      <c r="C531" t="s">
        <v>7328</v>
      </c>
      <c r="D531" t="s">
        <v>10211</v>
      </c>
      <c r="E531" t="s">
        <v>10232</v>
      </c>
      <c r="F531" t="s">
        <v>10213</v>
      </c>
      <c r="G531" t="s">
        <v>9926</v>
      </c>
      <c r="H531">
        <v>-5.5</v>
      </c>
      <c r="L531" t="s">
        <v>7330</v>
      </c>
      <c r="M531" t="s">
        <v>7330</v>
      </c>
      <c r="N531" s="501">
        <v>16361</v>
      </c>
      <c r="O531" s="501"/>
      <c r="P531" s="501">
        <v>0</v>
      </c>
      <c r="Q531" s="501">
        <v>16361</v>
      </c>
      <c r="R531" t="s">
        <v>7332</v>
      </c>
      <c r="S531">
        <v>0</v>
      </c>
    </row>
    <row r="532" spans="1:19">
      <c r="A532" t="s">
        <v>9201</v>
      </c>
      <c r="B532">
        <v>103</v>
      </c>
      <c r="C532" t="s">
        <v>7328</v>
      </c>
      <c r="D532" t="s">
        <v>10211</v>
      </c>
      <c r="E532" t="s">
        <v>10233</v>
      </c>
      <c r="F532" t="s">
        <v>10213</v>
      </c>
      <c r="G532" t="s">
        <v>9855</v>
      </c>
      <c r="H532">
        <v>-6</v>
      </c>
      <c r="L532" t="s">
        <v>7330</v>
      </c>
      <c r="M532" t="s">
        <v>7330</v>
      </c>
      <c r="N532" s="501">
        <v>12340</v>
      </c>
      <c r="O532" s="501"/>
      <c r="P532" s="501">
        <v>0</v>
      </c>
      <c r="Q532" s="501">
        <v>12340</v>
      </c>
      <c r="R532" t="s">
        <v>7332</v>
      </c>
      <c r="S532">
        <v>0</v>
      </c>
    </row>
    <row r="533" spans="1:19">
      <c r="A533" t="s">
        <v>9201</v>
      </c>
      <c r="B533">
        <v>103</v>
      </c>
      <c r="C533" t="s">
        <v>7328</v>
      </c>
      <c r="D533" t="s">
        <v>10211</v>
      </c>
      <c r="E533" t="s">
        <v>10234</v>
      </c>
      <c r="F533" t="s">
        <v>10213</v>
      </c>
      <c r="G533" t="s">
        <v>9860</v>
      </c>
      <c r="H533">
        <v>-6.5</v>
      </c>
      <c r="L533" t="s">
        <v>7330</v>
      </c>
      <c r="M533" t="s">
        <v>7330</v>
      </c>
      <c r="N533" s="501">
        <v>5312</v>
      </c>
      <c r="O533" s="501"/>
      <c r="P533" s="501">
        <v>0</v>
      </c>
      <c r="Q533" s="501">
        <v>5312</v>
      </c>
      <c r="R533" t="s">
        <v>7332</v>
      </c>
      <c r="S533">
        <v>0</v>
      </c>
    </row>
    <row r="534" spans="1:19">
      <c r="A534" t="s">
        <v>9201</v>
      </c>
      <c r="B534">
        <v>103</v>
      </c>
      <c r="C534" t="s">
        <v>7328</v>
      </c>
      <c r="D534" t="s">
        <v>10211</v>
      </c>
      <c r="E534" t="s">
        <v>10235</v>
      </c>
      <c r="F534" t="s">
        <v>10213</v>
      </c>
      <c r="G534" t="s">
        <v>9936</v>
      </c>
      <c r="H534">
        <v>-7</v>
      </c>
      <c r="L534" t="s">
        <v>7330</v>
      </c>
      <c r="M534" t="s">
        <v>7330</v>
      </c>
      <c r="N534" s="501">
        <v>20900</v>
      </c>
      <c r="O534" s="501"/>
      <c r="P534">
        <v>30</v>
      </c>
      <c r="Q534" s="501">
        <v>20870</v>
      </c>
      <c r="R534" t="s">
        <v>7332</v>
      </c>
      <c r="S534">
        <v>0</v>
      </c>
    </row>
    <row r="535" spans="1:19">
      <c r="A535" t="s">
        <v>9201</v>
      </c>
      <c r="B535">
        <v>103</v>
      </c>
      <c r="C535" t="s">
        <v>7328</v>
      </c>
      <c r="D535" t="s">
        <v>10211</v>
      </c>
      <c r="E535" t="s">
        <v>10236</v>
      </c>
      <c r="F535" t="s">
        <v>10213</v>
      </c>
      <c r="G535" t="s">
        <v>9942</v>
      </c>
      <c r="H535">
        <v>-8</v>
      </c>
      <c r="L535" t="s">
        <v>7330</v>
      </c>
      <c r="M535" t="s">
        <v>7330</v>
      </c>
      <c r="N535" s="501">
        <v>973</v>
      </c>
      <c r="O535" s="501"/>
      <c r="P535" s="501">
        <v>0</v>
      </c>
      <c r="Q535" s="501">
        <v>973</v>
      </c>
      <c r="R535" t="s">
        <v>7332</v>
      </c>
      <c r="S535">
        <v>0</v>
      </c>
    </row>
    <row r="536" spans="1:19">
      <c r="A536" t="s">
        <v>9201</v>
      </c>
      <c r="B536">
        <v>103</v>
      </c>
      <c r="C536" t="s">
        <v>7328</v>
      </c>
      <c r="D536" t="s">
        <v>10211</v>
      </c>
      <c r="E536" t="s">
        <v>10237</v>
      </c>
      <c r="F536" t="s">
        <v>10213</v>
      </c>
      <c r="G536" t="s">
        <v>9945</v>
      </c>
      <c r="H536">
        <v>-8.5</v>
      </c>
      <c r="L536" t="s">
        <v>7330</v>
      </c>
      <c r="M536" t="s">
        <v>7330</v>
      </c>
      <c r="N536" s="501">
        <v>6094</v>
      </c>
      <c r="O536" s="501"/>
      <c r="P536" s="501">
        <v>0</v>
      </c>
      <c r="Q536" s="501">
        <v>6094</v>
      </c>
      <c r="R536" t="s">
        <v>7332</v>
      </c>
      <c r="S536">
        <v>0</v>
      </c>
    </row>
    <row r="537" spans="1:19">
      <c r="A537" t="s">
        <v>9201</v>
      </c>
      <c r="B537">
        <v>103</v>
      </c>
      <c r="C537" t="s">
        <v>7328</v>
      </c>
      <c r="D537" t="s">
        <v>10211</v>
      </c>
      <c r="E537" t="s">
        <v>10238</v>
      </c>
      <c r="F537" t="s">
        <v>10213</v>
      </c>
      <c r="G537" t="s">
        <v>9949</v>
      </c>
      <c r="H537">
        <v>-9</v>
      </c>
      <c r="L537" t="s">
        <v>7330</v>
      </c>
      <c r="M537" t="s">
        <v>7330</v>
      </c>
      <c r="N537" s="501">
        <v>8354</v>
      </c>
      <c r="O537" s="501"/>
      <c r="P537" s="501">
        <v>0</v>
      </c>
      <c r="Q537" s="501">
        <v>8354</v>
      </c>
      <c r="R537" t="s">
        <v>7332</v>
      </c>
      <c r="S537">
        <v>0</v>
      </c>
    </row>
    <row r="538" spans="1:19">
      <c r="A538" t="s">
        <v>9201</v>
      </c>
      <c r="B538">
        <v>103</v>
      </c>
      <c r="C538" t="s">
        <v>7328</v>
      </c>
      <c r="D538" t="s">
        <v>10211</v>
      </c>
      <c r="E538" t="s">
        <v>10239</v>
      </c>
      <c r="F538" t="s">
        <v>10213</v>
      </c>
      <c r="G538" t="s">
        <v>10240</v>
      </c>
      <c r="H538">
        <v>-9.5</v>
      </c>
      <c r="L538" t="s">
        <v>7330</v>
      </c>
      <c r="M538" t="s">
        <v>7330</v>
      </c>
      <c r="N538" s="501">
        <v>11855</v>
      </c>
      <c r="O538" s="501"/>
      <c r="P538" s="501">
        <v>0</v>
      </c>
      <c r="Q538" s="501">
        <v>11855</v>
      </c>
      <c r="R538" t="s">
        <v>7332</v>
      </c>
      <c r="S538">
        <v>0</v>
      </c>
    </row>
    <row r="539" spans="1:19">
      <c r="A539" t="s">
        <v>9201</v>
      </c>
      <c r="B539">
        <v>103</v>
      </c>
      <c r="C539" t="s">
        <v>7328</v>
      </c>
      <c r="D539" t="s">
        <v>10211</v>
      </c>
      <c r="E539" t="s">
        <v>10241</v>
      </c>
      <c r="F539" t="s">
        <v>10213</v>
      </c>
      <c r="G539" t="s">
        <v>10242</v>
      </c>
      <c r="H539">
        <v>-10</v>
      </c>
      <c r="L539" t="s">
        <v>7330</v>
      </c>
      <c r="M539" t="s">
        <v>7330</v>
      </c>
      <c r="N539" s="501">
        <v>14360</v>
      </c>
      <c r="O539" s="501"/>
      <c r="P539" s="501">
        <v>0</v>
      </c>
      <c r="Q539" s="501">
        <v>14360</v>
      </c>
      <c r="R539" t="s">
        <v>7332</v>
      </c>
      <c r="S539">
        <v>0</v>
      </c>
    </row>
    <row r="540" spans="1:19">
      <c r="A540" t="s">
        <v>9201</v>
      </c>
      <c r="B540">
        <v>103</v>
      </c>
      <c r="C540" t="s">
        <v>7328</v>
      </c>
      <c r="D540" t="s">
        <v>10211</v>
      </c>
      <c r="E540" t="s">
        <v>10243</v>
      </c>
      <c r="F540" t="s">
        <v>10213</v>
      </c>
      <c r="G540" t="s">
        <v>10244</v>
      </c>
      <c r="H540">
        <v>-10.5</v>
      </c>
      <c r="L540" t="s">
        <v>7330</v>
      </c>
      <c r="M540" t="s">
        <v>7330</v>
      </c>
      <c r="N540" s="501">
        <v>4907</v>
      </c>
      <c r="O540" s="501"/>
      <c r="P540" s="501">
        <v>0</v>
      </c>
      <c r="Q540" s="501">
        <v>4907</v>
      </c>
      <c r="R540" t="s">
        <v>7332</v>
      </c>
      <c r="S540">
        <v>0</v>
      </c>
    </row>
    <row r="541" spans="1:19">
      <c r="A541" t="s">
        <v>9201</v>
      </c>
      <c r="B541">
        <v>103</v>
      </c>
      <c r="C541" t="s">
        <v>7328</v>
      </c>
      <c r="D541" t="s">
        <v>10211</v>
      </c>
      <c r="E541" t="s">
        <v>10245</v>
      </c>
      <c r="F541" t="s">
        <v>10213</v>
      </c>
      <c r="G541" t="s">
        <v>10246</v>
      </c>
      <c r="H541">
        <v>-11</v>
      </c>
      <c r="L541" t="s">
        <v>7330</v>
      </c>
      <c r="M541" t="s">
        <v>7330</v>
      </c>
      <c r="N541" s="501">
        <v>2592</v>
      </c>
      <c r="O541" s="501"/>
      <c r="P541" s="501">
        <v>0</v>
      </c>
      <c r="Q541" s="501">
        <v>2592</v>
      </c>
      <c r="R541" t="s">
        <v>7332</v>
      </c>
      <c r="S541">
        <v>0</v>
      </c>
    </row>
    <row r="542" spans="1:19">
      <c r="A542" t="s">
        <v>9201</v>
      </c>
      <c r="B542">
        <v>103</v>
      </c>
      <c r="C542" t="s">
        <v>7328</v>
      </c>
      <c r="D542" t="s">
        <v>10211</v>
      </c>
      <c r="E542" t="s">
        <v>10247</v>
      </c>
      <c r="F542" t="s">
        <v>10213</v>
      </c>
      <c r="G542" t="s">
        <v>10248</v>
      </c>
      <c r="H542">
        <v>-11.5</v>
      </c>
      <c r="L542" t="s">
        <v>7330</v>
      </c>
      <c r="M542" t="s">
        <v>7330</v>
      </c>
      <c r="N542" s="501">
        <v>5356</v>
      </c>
      <c r="O542" s="501"/>
      <c r="P542" s="501">
        <v>0</v>
      </c>
      <c r="Q542" s="501">
        <v>5356</v>
      </c>
      <c r="R542" t="s">
        <v>7332</v>
      </c>
      <c r="S542">
        <v>0</v>
      </c>
    </row>
    <row r="543" spans="1:19">
      <c r="A543" t="s">
        <v>9201</v>
      </c>
      <c r="B543">
        <v>103</v>
      </c>
      <c r="C543" t="s">
        <v>7328</v>
      </c>
      <c r="D543" t="s">
        <v>10211</v>
      </c>
      <c r="E543" t="s">
        <v>10249</v>
      </c>
      <c r="F543" t="s">
        <v>10213</v>
      </c>
      <c r="G543" t="s">
        <v>10250</v>
      </c>
      <c r="H543">
        <v>-12</v>
      </c>
      <c r="L543" t="s">
        <v>7330</v>
      </c>
      <c r="M543" t="s">
        <v>7330</v>
      </c>
      <c r="N543" s="501">
        <v>4487</v>
      </c>
      <c r="O543" s="501"/>
      <c r="P543" s="501">
        <v>0</v>
      </c>
      <c r="Q543" s="501">
        <v>4487</v>
      </c>
      <c r="R543" t="s">
        <v>7332</v>
      </c>
      <c r="S543">
        <v>0</v>
      </c>
    </row>
    <row r="544" spans="1:19">
      <c r="A544" t="s">
        <v>9201</v>
      </c>
      <c r="B544">
        <v>103</v>
      </c>
      <c r="C544" t="s">
        <v>7328</v>
      </c>
      <c r="D544" t="s">
        <v>10251</v>
      </c>
      <c r="E544" t="s">
        <v>10252</v>
      </c>
      <c r="F544" t="s">
        <v>10253</v>
      </c>
      <c r="G544" t="s">
        <v>10254</v>
      </c>
      <c r="H544">
        <v>0</v>
      </c>
      <c r="L544" t="s">
        <v>7330</v>
      </c>
      <c r="M544" t="s">
        <v>7330</v>
      </c>
      <c r="N544" s="501">
        <v>36908</v>
      </c>
      <c r="O544">
        <v>353</v>
      </c>
      <c r="P544">
        <v>140</v>
      </c>
      <c r="Q544" s="501">
        <v>37121</v>
      </c>
      <c r="R544" t="s">
        <v>7331</v>
      </c>
      <c r="S544">
        <v>0</v>
      </c>
    </row>
    <row r="545" spans="1:19">
      <c r="A545" t="s">
        <v>9201</v>
      </c>
      <c r="B545">
        <v>103</v>
      </c>
      <c r="C545" t="s">
        <v>7328</v>
      </c>
      <c r="D545" t="s">
        <v>10251</v>
      </c>
      <c r="E545" t="s">
        <v>10252</v>
      </c>
      <c r="F545" t="s">
        <v>10253</v>
      </c>
      <c r="G545" t="s">
        <v>10254</v>
      </c>
      <c r="H545">
        <v>0</v>
      </c>
      <c r="K545" t="s">
        <v>9337</v>
      </c>
      <c r="L545" t="s">
        <v>10255</v>
      </c>
      <c r="M545" t="s">
        <v>10256</v>
      </c>
      <c r="N545" s="501"/>
      <c r="O545" s="501">
        <v>10</v>
      </c>
      <c r="P545" s="501">
        <v>10</v>
      </c>
      <c r="Q545" s="501"/>
      <c r="R545" t="s">
        <v>7331</v>
      </c>
      <c r="S545">
        <v>0</v>
      </c>
    </row>
    <row r="546" spans="1:19">
      <c r="A546" t="s">
        <v>9201</v>
      </c>
      <c r="B546">
        <v>103</v>
      </c>
      <c r="C546" t="s">
        <v>7328</v>
      </c>
      <c r="D546" t="s">
        <v>10251</v>
      </c>
      <c r="E546" t="s">
        <v>10257</v>
      </c>
      <c r="F546" t="s">
        <v>10253</v>
      </c>
      <c r="G546" t="s">
        <v>10258</v>
      </c>
      <c r="H546">
        <v>-0.5</v>
      </c>
      <c r="L546" t="s">
        <v>7330</v>
      </c>
      <c r="M546" t="s">
        <v>7330</v>
      </c>
      <c r="N546" s="501">
        <v>13880</v>
      </c>
      <c r="O546" s="501"/>
      <c r="P546" s="501">
        <v>0</v>
      </c>
      <c r="Q546" s="501">
        <v>13880</v>
      </c>
      <c r="R546" t="s">
        <v>7331</v>
      </c>
      <c r="S546">
        <v>0</v>
      </c>
    </row>
    <row r="547" spans="1:19">
      <c r="A547" t="s">
        <v>9201</v>
      </c>
      <c r="B547">
        <v>103</v>
      </c>
      <c r="C547" t="s">
        <v>7328</v>
      </c>
      <c r="D547" t="s">
        <v>10251</v>
      </c>
      <c r="E547" t="s">
        <v>10259</v>
      </c>
      <c r="F547" t="s">
        <v>10253</v>
      </c>
      <c r="G547" t="s">
        <v>10260</v>
      </c>
      <c r="H547">
        <v>-0.75</v>
      </c>
      <c r="L547" t="s">
        <v>7330</v>
      </c>
      <c r="M547" t="s">
        <v>7330</v>
      </c>
      <c r="N547" s="501">
        <v>33031</v>
      </c>
      <c r="O547" s="501"/>
      <c r="P547" s="501">
        <v>90</v>
      </c>
      <c r="Q547" s="501">
        <v>32941</v>
      </c>
      <c r="R547" t="s">
        <v>7331</v>
      </c>
      <c r="S547">
        <v>0</v>
      </c>
    </row>
    <row r="548" spans="1:19">
      <c r="A548" t="s">
        <v>9201</v>
      </c>
      <c r="B548">
        <v>103</v>
      </c>
      <c r="C548" t="s">
        <v>7328</v>
      </c>
      <c r="D548" t="s">
        <v>10251</v>
      </c>
      <c r="E548" t="s">
        <v>10261</v>
      </c>
      <c r="F548" t="s">
        <v>10253</v>
      </c>
      <c r="G548" t="s">
        <v>10262</v>
      </c>
      <c r="H548">
        <v>-1</v>
      </c>
      <c r="L548" t="s">
        <v>7330</v>
      </c>
      <c r="M548" t="s">
        <v>7330</v>
      </c>
      <c r="N548" s="501">
        <v>15178</v>
      </c>
      <c r="O548" s="501">
        <v>1830</v>
      </c>
      <c r="P548" s="501">
        <v>1860</v>
      </c>
      <c r="Q548" s="501">
        <v>15148</v>
      </c>
      <c r="R548" t="s">
        <v>7331</v>
      </c>
      <c r="S548">
        <v>0</v>
      </c>
    </row>
    <row r="549" spans="1:19">
      <c r="A549" t="s">
        <v>9201</v>
      </c>
      <c r="B549">
        <v>103</v>
      </c>
      <c r="C549" t="s">
        <v>7328</v>
      </c>
      <c r="D549" t="s">
        <v>10251</v>
      </c>
      <c r="E549" t="s">
        <v>10261</v>
      </c>
      <c r="F549" t="s">
        <v>10253</v>
      </c>
      <c r="G549" t="s">
        <v>10262</v>
      </c>
      <c r="H549">
        <v>-1</v>
      </c>
      <c r="K549" t="s">
        <v>11881</v>
      </c>
      <c r="L549" t="s">
        <v>11937</v>
      </c>
      <c r="M549" t="s">
        <v>11938</v>
      </c>
      <c r="N549" s="501"/>
      <c r="O549" s="501">
        <v>1830</v>
      </c>
      <c r="P549" s="501">
        <v>1830</v>
      </c>
      <c r="Q549" s="501"/>
      <c r="R549" t="s">
        <v>7331</v>
      </c>
      <c r="S549">
        <v>0</v>
      </c>
    </row>
    <row r="550" spans="1:19">
      <c r="A550" t="s">
        <v>9201</v>
      </c>
      <c r="B550">
        <v>103</v>
      </c>
      <c r="C550" t="s">
        <v>7328</v>
      </c>
      <c r="D550" t="s">
        <v>10251</v>
      </c>
      <c r="E550" t="s">
        <v>10263</v>
      </c>
      <c r="F550" t="s">
        <v>10253</v>
      </c>
      <c r="G550" t="s">
        <v>10264</v>
      </c>
      <c r="H550">
        <v>-1.25</v>
      </c>
      <c r="L550" t="s">
        <v>7330</v>
      </c>
      <c r="M550" t="s">
        <v>7330</v>
      </c>
      <c r="N550" s="501">
        <v>13879</v>
      </c>
      <c r="O550" s="501">
        <v>110</v>
      </c>
      <c r="P550" s="501">
        <v>0</v>
      </c>
      <c r="Q550" s="501">
        <v>13989</v>
      </c>
      <c r="R550" t="s">
        <v>7331</v>
      </c>
      <c r="S550">
        <v>0</v>
      </c>
    </row>
    <row r="551" spans="1:19">
      <c r="A551" t="s">
        <v>9201</v>
      </c>
      <c r="B551">
        <v>103</v>
      </c>
      <c r="C551" t="s">
        <v>7328</v>
      </c>
      <c r="D551" t="s">
        <v>10251</v>
      </c>
      <c r="E551" t="s">
        <v>10265</v>
      </c>
      <c r="F551" t="s">
        <v>10253</v>
      </c>
      <c r="G551" t="s">
        <v>10266</v>
      </c>
      <c r="H551">
        <v>-1.5</v>
      </c>
      <c r="L551" t="s">
        <v>7330</v>
      </c>
      <c r="M551" t="s">
        <v>7330</v>
      </c>
      <c r="N551" s="501">
        <v>28342</v>
      </c>
      <c r="O551" s="501">
        <v>85</v>
      </c>
      <c r="P551" s="501">
        <v>0</v>
      </c>
      <c r="Q551" s="501">
        <v>28427</v>
      </c>
      <c r="R551" t="s">
        <v>7331</v>
      </c>
      <c r="S551">
        <v>0</v>
      </c>
    </row>
    <row r="552" spans="1:19">
      <c r="A552" t="s">
        <v>9201</v>
      </c>
      <c r="B552">
        <v>103</v>
      </c>
      <c r="C552" t="s">
        <v>7328</v>
      </c>
      <c r="D552" t="s">
        <v>10251</v>
      </c>
      <c r="E552" t="s">
        <v>10267</v>
      </c>
      <c r="F552" t="s">
        <v>10253</v>
      </c>
      <c r="G552" t="s">
        <v>10268</v>
      </c>
      <c r="H552">
        <v>-1.75</v>
      </c>
      <c r="L552" t="s">
        <v>7330</v>
      </c>
      <c r="M552" t="s">
        <v>7330</v>
      </c>
      <c r="N552" s="501">
        <v>12109</v>
      </c>
      <c r="O552" s="501">
        <v>2049</v>
      </c>
      <c r="P552" s="501">
        <v>1915</v>
      </c>
      <c r="Q552" s="501">
        <v>12243</v>
      </c>
      <c r="R552" t="s">
        <v>7331</v>
      </c>
      <c r="S552">
        <v>0</v>
      </c>
    </row>
    <row r="553" spans="1:19">
      <c r="A553" t="s">
        <v>9201</v>
      </c>
      <c r="B553">
        <v>103</v>
      </c>
      <c r="C553" t="s">
        <v>7328</v>
      </c>
      <c r="D553" t="s">
        <v>10251</v>
      </c>
      <c r="E553" t="s">
        <v>10267</v>
      </c>
      <c r="F553" t="s">
        <v>10253</v>
      </c>
      <c r="G553" t="s">
        <v>10268</v>
      </c>
      <c r="H553">
        <v>-1.75</v>
      </c>
      <c r="K553" t="s">
        <v>10179</v>
      </c>
      <c r="L553" t="s">
        <v>11939</v>
      </c>
      <c r="M553" t="s">
        <v>11940</v>
      </c>
      <c r="N553" s="501"/>
      <c r="O553" s="501">
        <v>1915</v>
      </c>
      <c r="P553" s="501">
        <v>1915</v>
      </c>
      <c r="Q553" s="501"/>
      <c r="R553" t="s">
        <v>7331</v>
      </c>
      <c r="S553">
        <v>0</v>
      </c>
    </row>
    <row r="554" spans="1:19">
      <c r="A554" t="s">
        <v>9201</v>
      </c>
      <c r="B554">
        <v>103</v>
      </c>
      <c r="C554" t="s">
        <v>7328</v>
      </c>
      <c r="D554" t="s">
        <v>10251</v>
      </c>
      <c r="E554" t="s">
        <v>10269</v>
      </c>
      <c r="F554" t="s">
        <v>10253</v>
      </c>
      <c r="G554" t="s">
        <v>10270</v>
      </c>
      <c r="H554">
        <v>-2</v>
      </c>
      <c r="L554" t="s">
        <v>7330</v>
      </c>
      <c r="M554" t="s">
        <v>7330</v>
      </c>
      <c r="N554" s="501">
        <v>19720</v>
      </c>
      <c r="O554" s="501">
        <v>1709</v>
      </c>
      <c r="P554" s="501">
        <v>1695</v>
      </c>
      <c r="Q554" s="501">
        <v>19734</v>
      </c>
      <c r="R554" t="s">
        <v>7331</v>
      </c>
      <c r="S554">
        <v>0</v>
      </c>
    </row>
    <row r="555" spans="1:19">
      <c r="A555" t="s">
        <v>9201</v>
      </c>
      <c r="B555">
        <v>103</v>
      </c>
      <c r="C555" t="s">
        <v>7328</v>
      </c>
      <c r="D555" t="s">
        <v>10251</v>
      </c>
      <c r="E555" t="s">
        <v>10269</v>
      </c>
      <c r="F555" t="s">
        <v>10253</v>
      </c>
      <c r="G555" t="s">
        <v>10270</v>
      </c>
      <c r="H555">
        <v>-2</v>
      </c>
      <c r="K555" t="s">
        <v>10179</v>
      </c>
      <c r="L555" t="s">
        <v>11941</v>
      </c>
      <c r="M555" t="s">
        <v>11942</v>
      </c>
      <c r="N555" s="501"/>
      <c r="O555" s="501">
        <v>1695</v>
      </c>
      <c r="P555" s="501">
        <v>1695</v>
      </c>
      <c r="Q555" s="501"/>
      <c r="R555" t="s">
        <v>7331</v>
      </c>
      <c r="S555">
        <v>0</v>
      </c>
    </row>
    <row r="556" spans="1:19">
      <c r="A556" t="s">
        <v>9201</v>
      </c>
      <c r="B556">
        <v>103</v>
      </c>
      <c r="C556" t="s">
        <v>7328</v>
      </c>
      <c r="D556" t="s">
        <v>10251</v>
      </c>
      <c r="E556" t="s">
        <v>10271</v>
      </c>
      <c r="F556" t="s">
        <v>10253</v>
      </c>
      <c r="G556" t="s">
        <v>10272</v>
      </c>
      <c r="H556">
        <v>-2.25</v>
      </c>
      <c r="L556" t="s">
        <v>7330</v>
      </c>
      <c r="M556" t="s">
        <v>7330</v>
      </c>
      <c r="N556" s="501">
        <v>12950</v>
      </c>
      <c r="O556" s="501">
        <v>1744</v>
      </c>
      <c r="P556" s="501">
        <v>1730</v>
      </c>
      <c r="Q556" s="501">
        <v>12964</v>
      </c>
      <c r="R556" t="s">
        <v>7331</v>
      </c>
      <c r="S556">
        <v>0</v>
      </c>
    </row>
    <row r="557" spans="1:19">
      <c r="A557" t="s">
        <v>9201</v>
      </c>
      <c r="B557">
        <v>103</v>
      </c>
      <c r="C557" t="s">
        <v>7328</v>
      </c>
      <c r="D557" t="s">
        <v>10251</v>
      </c>
      <c r="E557" t="s">
        <v>10271</v>
      </c>
      <c r="F557" t="s">
        <v>10253</v>
      </c>
      <c r="G557" t="s">
        <v>10272</v>
      </c>
      <c r="H557">
        <v>-2.25</v>
      </c>
      <c r="K557" t="s">
        <v>11881</v>
      </c>
      <c r="L557" t="s">
        <v>11943</v>
      </c>
      <c r="M557" t="s">
        <v>11944</v>
      </c>
      <c r="N557" s="501"/>
      <c r="O557" s="501">
        <v>1670</v>
      </c>
      <c r="P557" s="501">
        <v>1670</v>
      </c>
      <c r="Q557" s="501"/>
      <c r="R557" t="s">
        <v>7331</v>
      </c>
      <c r="S557">
        <v>0</v>
      </c>
    </row>
    <row r="558" spans="1:19">
      <c r="A558" t="s">
        <v>9201</v>
      </c>
      <c r="B558">
        <v>103</v>
      </c>
      <c r="C558" t="s">
        <v>7328</v>
      </c>
      <c r="D558" t="s">
        <v>10251</v>
      </c>
      <c r="E558" t="s">
        <v>10273</v>
      </c>
      <c r="F558" t="s">
        <v>10253</v>
      </c>
      <c r="G558" t="s">
        <v>10274</v>
      </c>
      <c r="H558">
        <v>-2.5</v>
      </c>
      <c r="L558" t="s">
        <v>7330</v>
      </c>
      <c r="M558" t="s">
        <v>7330</v>
      </c>
      <c r="N558" s="501">
        <v>15177</v>
      </c>
      <c r="O558" s="501">
        <v>1764</v>
      </c>
      <c r="P558" s="501">
        <v>1690</v>
      </c>
      <c r="Q558" s="501">
        <v>15251</v>
      </c>
      <c r="R558" t="s">
        <v>7331</v>
      </c>
      <c r="S558">
        <v>0</v>
      </c>
    </row>
    <row r="559" spans="1:19">
      <c r="A559" t="s">
        <v>9201</v>
      </c>
      <c r="B559">
        <v>103</v>
      </c>
      <c r="C559" t="s">
        <v>7328</v>
      </c>
      <c r="D559" t="s">
        <v>10251</v>
      </c>
      <c r="E559" t="s">
        <v>10273</v>
      </c>
      <c r="F559" t="s">
        <v>10253</v>
      </c>
      <c r="G559" t="s">
        <v>10274</v>
      </c>
      <c r="H559">
        <v>-2.5</v>
      </c>
      <c r="K559" t="s">
        <v>10179</v>
      </c>
      <c r="L559" t="s">
        <v>11945</v>
      </c>
      <c r="M559" t="s">
        <v>11946</v>
      </c>
      <c r="N559" s="501"/>
      <c r="O559" s="501">
        <v>1690</v>
      </c>
      <c r="P559" s="501">
        <v>1690</v>
      </c>
      <c r="Q559" s="501"/>
      <c r="R559" t="s">
        <v>7331</v>
      </c>
      <c r="S559">
        <v>0</v>
      </c>
    </row>
    <row r="560" spans="1:19">
      <c r="A560" t="s">
        <v>9201</v>
      </c>
      <c r="B560">
        <v>103</v>
      </c>
      <c r="C560" t="s">
        <v>7328</v>
      </c>
      <c r="D560" t="s">
        <v>10251</v>
      </c>
      <c r="E560" t="s">
        <v>10275</v>
      </c>
      <c r="F560" t="s">
        <v>10253</v>
      </c>
      <c r="G560" t="s">
        <v>10276</v>
      </c>
      <c r="H560">
        <v>-2.75</v>
      </c>
      <c r="L560" t="s">
        <v>7330</v>
      </c>
      <c r="M560" t="s">
        <v>7330</v>
      </c>
      <c r="N560" s="501">
        <v>23013</v>
      </c>
      <c r="O560" s="501">
        <v>48</v>
      </c>
      <c r="P560" s="501">
        <v>0</v>
      </c>
      <c r="Q560" s="501">
        <v>23061</v>
      </c>
      <c r="R560" t="s">
        <v>7331</v>
      </c>
      <c r="S560">
        <v>0</v>
      </c>
    </row>
    <row r="561" spans="1:19">
      <c r="A561" t="s">
        <v>9201</v>
      </c>
      <c r="B561">
        <v>103</v>
      </c>
      <c r="C561" t="s">
        <v>7328</v>
      </c>
      <c r="D561" t="s">
        <v>10251</v>
      </c>
      <c r="E561" t="s">
        <v>10277</v>
      </c>
      <c r="F561" t="s">
        <v>10253</v>
      </c>
      <c r="G561" t="s">
        <v>10278</v>
      </c>
      <c r="H561">
        <v>-3</v>
      </c>
      <c r="L561" t="s">
        <v>7330</v>
      </c>
      <c r="M561" t="s">
        <v>7330</v>
      </c>
      <c r="N561" s="501">
        <v>8021</v>
      </c>
      <c r="O561" s="501">
        <v>206</v>
      </c>
      <c r="P561" s="501">
        <v>60</v>
      </c>
      <c r="Q561" s="501">
        <v>8167</v>
      </c>
      <c r="R561" t="s">
        <v>7331</v>
      </c>
      <c r="S561">
        <v>0</v>
      </c>
    </row>
    <row r="562" spans="1:19">
      <c r="A562" t="s">
        <v>9201</v>
      </c>
      <c r="B562">
        <v>103</v>
      </c>
      <c r="C562" t="s">
        <v>7328</v>
      </c>
      <c r="D562" t="s">
        <v>10251</v>
      </c>
      <c r="E562" t="s">
        <v>10279</v>
      </c>
      <c r="F562" t="s">
        <v>10253</v>
      </c>
      <c r="G562" t="s">
        <v>10280</v>
      </c>
      <c r="H562">
        <v>-3.25</v>
      </c>
      <c r="L562" t="s">
        <v>7330</v>
      </c>
      <c r="M562" t="s">
        <v>7330</v>
      </c>
      <c r="N562" s="501">
        <v>13056</v>
      </c>
      <c r="O562" s="501">
        <v>2075</v>
      </c>
      <c r="P562" s="501">
        <v>1860</v>
      </c>
      <c r="Q562" s="501">
        <v>13271</v>
      </c>
      <c r="R562" t="s">
        <v>7331</v>
      </c>
      <c r="S562">
        <v>0</v>
      </c>
    </row>
    <row r="563" spans="1:19">
      <c r="A563" t="s">
        <v>9201</v>
      </c>
      <c r="B563">
        <v>103</v>
      </c>
      <c r="C563" t="s">
        <v>7328</v>
      </c>
      <c r="D563" t="s">
        <v>10251</v>
      </c>
      <c r="E563" t="s">
        <v>10279</v>
      </c>
      <c r="F563" t="s">
        <v>10253</v>
      </c>
      <c r="G563" t="s">
        <v>10280</v>
      </c>
      <c r="H563">
        <v>-3.25</v>
      </c>
      <c r="K563" t="s">
        <v>10179</v>
      </c>
      <c r="L563" t="s">
        <v>11947</v>
      </c>
      <c r="M563" t="s">
        <v>11948</v>
      </c>
      <c r="N563" s="501"/>
      <c r="O563" s="501">
        <v>1830</v>
      </c>
      <c r="P563" s="501">
        <v>1830</v>
      </c>
      <c r="Q563" s="501"/>
      <c r="R563" t="s">
        <v>7331</v>
      </c>
      <c r="S563">
        <v>0</v>
      </c>
    </row>
    <row r="564" spans="1:19">
      <c r="A564" t="s">
        <v>9201</v>
      </c>
      <c r="B564">
        <v>103</v>
      </c>
      <c r="C564" t="s">
        <v>7328</v>
      </c>
      <c r="D564" t="s">
        <v>10251</v>
      </c>
      <c r="E564" t="s">
        <v>10281</v>
      </c>
      <c r="F564" t="s">
        <v>10253</v>
      </c>
      <c r="G564" t="s">
        <v>10282</v>
      </c>
      <c r="H564">
        <v>-3.5</v>
      </c>
      <c r="L564" t="s">
        <v>7330</v>
      </c>
      <c r="M564" t="s">
        <v>7330</v>
      </c>
      <c r="N564" s="501">
        <v>15622</v>
      </c>
      <c r="O564" s="501">
        <v>2676</v>
      </c>
      <c r="P564" s="501">
        <v>1615</v>
      </c>
      <c r="Q564" s="501">
        <v>16683</v>
      </c>
      <c r="R564" t="s">
        <v>7331</v>
      </c>
      <c r="S564">
        <v>0</v>
      </c>
    </row>
    <row r="565" spans="1:19">
      <c r="A565" t="s">
        <v>9201</v>
      </c>
      <c r="B565">
        <v>103</v>
      </c>
      <c r="C565" t="s">
        <v>7328</v>
      </c>
      <c r="D565" t="s">
        <v>10251</v>
      </c>
      <c r="E565" t="s">
        <v>10281</v>
      </c>
      <c r="F565" t="s">
        <v>10253</v>
      </c>
      <c r="G565" t="s">
        <v>10282</v>
      </c>
      <c r="H565">
        <v>-3.5</v>
      </c>
      <c r="K565" t="s">
        <v>10179</v>
      </c>
      <c r="L565" t="s">
        <v>11949</v>
      </c>
      <c r="M565" t="s">
        <v>11950</v>
      </c>
      <c r="N565" s="501"/>
      <c r="O565" s="501">
        <v>1615</v>
      </c>
      <c r="P565" s="501">
        <v>1615</v>
      </c>
      <c r="Q565" s="501"/>
      <c r="R565" t="s">
        <v>7331</v>
      </c>
      <c r="S565">
        <v>0</v>
      </c>
    </row>
    <row r="566" spans="1:19">
      <c r="A566" t="s">
        <v>9201</v>
      </c>
      <c r="B566">
        <v>103</v>
      </c>
      <c r="C566" t="s">
        <v>7328</v>
      </c>
      <c r="D566" t="s">
        <v>10251</v>
      </c>
      <c r="E566" t="s">
        <v>10283</v>
      </c>
      <c r="F566" t="s">
        <v>10253</v>
      </c>
      <c r="G566" t="s">
        <v>10284</v>
      </c>
      <c r="H566">
        <v>-3.75</v>
      </c>
      <c r="L566" t="s">
        <v>7330</v>
      </c>
      <c r="M566" t="s">
        <v>7330</v>
      </c>
      <c r="N566" s="501">
        <v>29948</v>
      </c>
      <c r="O566" s="501">
        <v>2260</v>
      </c>
      <c r="P566" s="501">
        <v>1908</v>
      </c>
      <c r="Q566" s="501">
        <v>30300</v>
      </c>
      <c r="R566" t="s">
        <v>7331</v>
      </c>
      <c r="S566">
        <v>0</v>
      </c>
    </row>
    <row r="567" spans="1:19">
      <c r="A567" t="s">
        <v>9201</v>
      </c>
      <c r="B567">
        <v>103</v>
      </c>
      <c r="C567" t="s">
        <v>7328</v>
      </c>
      <c r="D567" t="s">
        <v>10251</v>
      </c>
      <c r="E567" t="s">
        <v>10283</v>
      </c>
      <c r="F567" t="s">
        <v>10253</v>
      </c>
      <c r="G567" t="s">
        <v>10284</v>
      </c>
      <c r="H567">
        <v>-3.75</v>
      </c>
      <c r="K567" t="s">
        <v>10179</v>
      </c>
      <c r="L567" t="s">
        <v>11951</v>
      </c>
      <c r="M567" t="s">
        <v>11952</v>
      </c>
      <c r="N567" s="501"/>
      <c r="O567" s="501">
        <v>1900</v>
      </c>
      <c r="P567" s="501">
        <v>1900</v>
      </c>
      <c r="Q567" s="501"/>
      <c r="R567" t="s">
        <v>7331</v>
      </c>
      <c r="S567">
        <v>0</v>
      </c>
    </row>
    <row r="568" spans="1:19">
      <c r="A568" t="s">
        <v>9201</v>
      </c>
      <c r="B568">
        <v>103</v>
      </c>
      <c r="C568" t="s">
        <v>7328</v>
      </c>
      <c r="D568" t="s">
        <v>10251</v>
      </c>
      <c r="E568" t="s">
        <v>10285</v>
      </c>
      <c r="F568" t="s">
        <v>10253</v>
      </c>
      <c r="G568" t="s">
        <v>10286</v>
      </c>
      <c r="H568">
        <v>-4</v>
      </c>
      <c r="L568" t="s">
        <v>7330</v>
      </c>
      <c r="M568" t="s">
        <v>7330</v>
      </c>
      <c r="N568" s="501">
        <v>8246</v>
      </c>
      <c r="O568" s="501">
        <v>2354</v>
      </c>
      <c r="P568" s="501">
        <v>1720</v>
      </c>
      <c r="Q568" s="501">
        <v>8880</v>
      </c>
      <c r="R568" t="s">
        <v>7331</v>
      </c>
      <c r="S568">
        <v>0</v>
      </c>
    </row>
    <row r="569" spans="1:19">
      <c r="A569" t="s">
        <v>9201</v>
      </c>
      <c r="B569">
        <v>103</v>
      </c>
      <c r="C569" t="s">
        <v>7328</v>
      </c>
      <c r="D569" t="s">
        <v>10251</v>
      </c>
      <c r="E569" t="s">
        <v>10285</v>
      </c>
      <c r="F569" t="s">
        <v>10253</v>
      </c>
      <c r="G569" t="s">
        <v>10286</v>
      </c>
      <c r="H569">
        <v>-4</v>
      </c>
      <c r="K569" t="s">
        <v>10179</v>
      </c>
      <c r="L569" t="s">
        <v>11953</v>
      </c>
      <c r="M569" t="s">
        <v>11954</v>
      </c>
      <c r="N569" s="501"/>
      <c r="O569" s="501">
        <v>1720</v>
      </c>
      <c r="P569" s="501">
        <v>1720</v>
      </c>
      <c r="Q569" s="501"/>
      <c r="R569" t="s">
        <v>7331</v>
      </c>
      <c r="S569">
        <v>0</v>
      </c>
    </row>
    <row r="570" spans="1:19">
      <c r="A570" t="s">
        <v>9201</v>
      </c>
      <c r="B570">
        <v>103</v>
      </c>
      <c r="C570" t="s">
        <v>7328</v>
      </c>
      <c r="D570" t="s">
        <v>10251</v>
      </c>
      <c r="E570" t="s">
        <v>10287</v>
      </c>
      <c r="F570" t="s">
        <v>10253</v>
      </c>
      <c r="G570" t="s">
        <v>10288</v>
      </c>
      <c r="H570">
        <v>-4.25</v>
      </c>
      <c r="L570" t="s">
        <v>7330</v>
      </c>
      <c r="M570" t="s">
        <v>7330</v>
      </c>
      <c r="N570" s="501">
        <v>12094</v>
      </c>
      <c r="O570" s="501">
        <v>181</v>
      </c>
      <c r="P570">
        <v>0</v>
      </c>
      <c r="Q570" s="501">
        <v>12275</v>
      </c>
      <c r="R570" t="s">
        <v>7331</v>
      </c>
      <c r="S570">
        <v>0</v>
      </c>
    </row>
    <row r="571" spans="1:19">
      <c r="A571" t="s">
        <v>9201</v>
      </c>
      <c r="B571">
        <v>103</v>
      </c>
      <c r="C571" t="s">
        <v>7328</v>
      </c>
      <c r="D571" t="s">
        <v>10251</v>
      </c>
      <c r="E571" t="s">
        <v>10289</v>
      </c>
      <c r="F571" t="s">
        <v>10253</v>
      </c>
      <c r="G571" t="s">
        <v>10290</v>
      </c>
      <c r="H571">
        <v>-4.5</v>
      </c>
      <c r="L571" t="s">
        <v>7330</v>
      </c>
      <c r="M571" t="s">
        <v>7330</v>
      </c>
      <c r="N571" s="501">
        <v>21386</v>
      </c>
      <c r="O571">
        <v>29</v>
      </c>
      <c r="P571">
        <v>0</v>
      </c>
      <c r="Q571" s="501">
        <v>21415</v>
      </c>
      <c r="R571" t="s">
        <v>7331</v>
      </c>
      <c r="S571">
        <v>0</v>
      </c>
    </row>
    <row r="572" spans="1:19">
      <c r="A572" t="s">
        <v>9201</v>
      </c>
      <c r="B572">
        <v>103</v>
      </c>
      <c r="C572" t="s">
        <v>7328</v>
      </c>
      <c r="D572" t="s">
        <v>10251</v>
      </c>
      <c r="E572" t="s">
        <v>10291</v>
      </c>
      <c r="F572" t="s">
        <v>10253</v>
      </c>
      <c r="G572" t="s">
        <v>10292</v>
      </c>
      <c r="H572">
        <v>-4.75</v>
      </c>
      <c r="L572" t="s">
        <v>7330</v>
      </c>
      <c r="M572" t="s">
        <v>7330</v>
      </c>
      <c r="N572" s="501">
        <v>19709</v>
      </c>
      <c r="O572" s="501">
        <v>1934</v>
      </c>
      <c r="P572" s="501">
        <v>1840</v>
      </c>
      <c r="Q572" s="501">
        <v>19803</v>
      </c>
      <c r="R572" t="s">
        <v>7331</v>
      </c>
      <c r="S572">
        <v>0</v>
      </c>
    </row>
    <row r="573" spans="1:19">
      <c r="A573" t="s">
        <v>9201</v>
      </c>
      <c r="B573">
        <v>103</v>
      </c>
      <c r="C573" t="s">
        <v>7328</v>
      </c>
      <c r="D573" t="s">
        <v>10251</v>
      </c>
      <c r="E573" t="s">
        <v>10291</v>
      </c>
      <c r="F573" t="s">
        <v>10253</v>
      </c>
      <c r="G573" t="s">
        <v>10292</v>
      </c>
      <c r="H573">
        <v>-4.75</v>
      </c>
      <c r="K573" t="s">
        <v>10179</v>
      </c>
      <c r="L573" t="s">
        <v>11955</v>
      </c>
      <c r="M573" t="s">
        <v>11956</v>
      </c>
      <c r="N573" s="501"/>
      <c r="O573" s="501">
        <v>1840</v>
      </c>
      <c r="P573" s="501">
        <v>1840</v>
      </c>
      <c r="Q573" s="501"/>
      <c r="R573" t="s">
        <v>7331</v>
      </c>
      <c r="S573">
        <v>0</v>
      </c>
    </row>
    <row r="574" spans="1:19">
      <c r="A574" t="s">
        <v>9201</v>
      </c>
      <c r="B574">
        <v>103</v>
      </c>
      <c r="C574" t="s">
        <v>7328</v>
      </c>
      <c r="D574" t="s">
        <v>10251</v>
      </c>
      <c r="E574" t="s">
        <v>10293</v>
      </c>
      <c r="F574" t="s">
        <v>10253</v>
      </c>
      <c r="G574" t="s">
        <v>10294</v>
      </c>
      <c r="H574">
        <v>-5</v>
      </c>
      <c r="L574" t="s">
        <v>7330</v>
      </c>
      <c r="M574" t="s">
        <v>7330</v>
      </c>
      <c r="N574" s="501">
        <v>25326</v>
      </c>
      <c r="O574" s="501">
        <v>2315</v>
      </c>
      <c r="P574" s="501">
        <v>2315</v>
      </c>
      <c r="Q574" s="501">
        <v>25326</v>
      </c>
      <c r="R574" t="s">
        <v>7331</v>
      </c>
      <c r="S574">
        <v>0</v>
      </c>
    </row>
    <row r="575" spans="1:19">
      <c r="A575" t="s">
        <v>9201</v>
      </c>
      <c r="B575">
        <v>103</v>
      </c>
      <c r="C575" t="s">
        <v>7328</v>
      </c>
      <c r="D575" t="s">
        <v>10251</v>
      </c>
      <c r="E575" t="s">
        <v>10293</v>
      </c>
      <c r="F575" t="s">
        <v>10253</v>
      </c>
      <c r="G575" t="s">
        <v>10294</v>
      </c>
      <c r="H575">
        <v>-5</v>
      </c>
      <c r="K575" t="s">
        <v>10172</v>
      </c>
      <c r="L575" t="s">
        <v>11957</v>
      </c>
      <c r="M575" t="s">
        <v>11958</v>
      </c>
      <c r="N575" s="501"/>
      <c r="O575">
        <v>210</v>
      </c>
      <c r="P575">
        <v>210</v>
      </c>
      <c r="Q575" s="501"/>
      <c r="R575" t="s">
        <v>7331</v>
      </c>
      <c r="S575">
        <v>0</v>
      </c>
    </row>
    <row r="576" spans="1:19">
      <c r="A576" t="s">
        <v>9201</v>
      </c>
      <c r="B576">
        <v>103</v>
      </c>
      <c r="C576" t="s">
        <v>7328</v>
      </c>
      <c r="D576" t="s">
        <v>10251</v>
      </c>
      <c r="E576" t="s">
        <v>10293</v>
      </c>
      <c r="F576" t="s">
        <v>10253</v>
      </c>
      <c r="G576" t="s">
        <v>10294</v>
      </c>
      <c r="H576">
        <v>-5</v>
      </c>
      <c r="K576" t="s">
        <v>10172</v>
      </c>
      <c r="L576" t="s">
        <v>11959</v>
      </c>
      <c r="M576" t="s">
        <v>11960</v>
      </c>
      <c r="N576" s="501"/>
      <c r="O576" s="501">
        <v>610</v>
      </c>
      <c r="P576">
        <v>610</v>
      </c>
      <c r="Q576" s="501"/>
      <c r="R576" t="s">
        <v>7331</v>
      </c>
      <c r="S576">
        <v>0</v>
      </c>
    </row>
    <row r="577" spans="1:19">
      <c r="A577" t="s">
        <v>9201</v>
      </c>
      <c r="B577">
        <v>103</v>
      </c>
      <c r="C577" t="s">
        <v>7328</v>
      </c>
      <c r="D577" t="s">
        <v>10251</v>
      </c>
      <c r="E577" t="s">
        <v>10293</v>
      </c>
      <c r="F577" t="s">
        <v>10253</v>
      </c>
      <c r="G577" t="s">
        <v>10294</v>
      </c>
      <c r="H577">
        <v>-5</v>
      </c>
      <c r="K577" t="s">
        <v>9343</v>
      </c>
      <c r="L577" t="s">
        <v>11961</v>
      </c>
      <c r="M577" t="s">
        <v>11962</v>
      </c>
      <c r="N577" s="501"/>
      <c r="O577" s="501">
        <v>1495</v>
      </c>
      <c r="P577" s="501">
        <v>1495</v>
      </c>
      <c r="Q577" s="501"/>
      <c r="R577" t="s">
        <v>7331</v>
      </c>
      <c r="S577">
        <v>0</v>
      </c>
    </row>
    <row r="578" spans="1:19">
      <c r="A578" t="s">
        <v>9201</v>
      </c>
      <c r="B578">
        <v>103</v>
      </c>
      <c r="C578" t="s">
        <v>7328</v>
      </c>
      <c r="D578" t="s">
        <v>10251</v>
      </c>
      <c r="E578" t="s">
        <v>10295</v>
      </c>
      <c r="F578" t="s">
        <v>10253</v>
      </c>
      <c r="G578" t="s">
        <v>10296</v>
      </c>
      <c r="H578">
        <v>-5.5</v>
      </c>
      <c r="L578" t="s">
        <v>7330</v>
      </c>
      <c r="M578" t="s">
        <v>7330</v>
      </c>
      <c r="N578" s="501">
        <v>10901</v>
      </c>
      <c r="O578" s="501">
        <v>179</v>
      </c>
      <c r="P578">
        <v>0</v>
      </c>
      <c r="Q578" s="501">
        <v>11080</v>
      </c>
      <c r="R578" t="s">
        <v>7331</v>
      </c>
      <c r="S578">
        <v>0</v>
      </c>
    </row>
    <row r="579" spans="1:19">
      <c r="A579" t="s">
        <v>9201</v>
      </c>
      <c r="B579">
        <v>103</v>
      </c>
      <c r="C579" t="s">
        <v>7328</v>
      </c>
      <c r="D579" t="s">
        <v>10251</v>
      </c>
      <c r="E579" t="s">
        <v>10295</v>
      </c>
      <c r="F579" t="s">
        <v>10253</v>
      </c>
      <c r="G579" t="s">
        <v>10296</v>
      </c>
      <c r="H579">
        <v>-5.5</v>
      </c>
      <c r="K579" t="s">
        <v>10179</v>
      </c>
      <c r="L579" t="s">
        <v>10297</v>
      </c>
      <c r="M579" t="s">
        <v>10298</v>
      </c>
      <c r="N579" s="501"/>
      <c r="O579" s="501">
        <v>30</v>
      </c>
      <c r="P579">
        <v>30</v>
      </c>
      <c r="Q579" s="501"/>
      <c r="R579" t="s">
        <v>7331</v>
      </c>
      <c r="S579">
        <v>0</v>
      </c>
    </row>
    <row r="580" spans="1:19">
      <c r="A580" t="s">
        <v>9201</v>
      </c>
      <c r="B580">
        <v>103</v>
      </c>
      <c r="C580" t="s">
        <v>7328</v>
      </c>
      <c r="D580" t="s">
        <v>10251</v>
      </c>
      <c r="E580" t="s">
        <v>10299</v>
      </c>
      <c r="F580" t="s">
        <v>10253</v>
      </c>
      <c r="G580" t="s">
        <v>10300</v>
      </c>
      <c r="H580">
        <v>-6</v>
      </c>
      <c r="L580" t="s">
        <v>7330</v>
      </c>
      <c r="M580" t="s">
        <v>7330</v>
      </c>
      <c r="N580" s="501">
        <v>8086</v>
      </c>
      <c r="O580" s="501">
        <v>2344</v>
      </c>
      <c r="P580" s="501">
        <v>1980</v>
      </c>
      <c r="Q580" s="501">
        <v>8450</v>
      </c>
      <c r="R580" t="s">
        <v>7331</v>
      </c>
      <c r="S580">
        <v>0</v>
      </c>
    </row>
    <row r="581" spans="1:19">
      <c r="A581" t="s">
        <v>9201</v>
      </c>
      <c r="B581">
        <v>103</v>
      </c>
      <c r="C581" t="s">
        <v>7328</v>
      </c>
      <c r="D581" t="s">
        <v>10251</v>
      </c>
      <c r="E581" t="s">
        <v>10299</v>
      </c>
      <c r="F581" t="s">
        <v>10253</v>
      </c>
      <c r="G581" t="s">
        <v>10300</v>
      </c>
      <c r="H581">
        <v>-6</v>
      </c>
      <c r="K581" t="s">
        <v>10179</v>
      </c>
      <c r="L581" t="s">
        <v>11963</v>
      </c>
      <c r="M581" t="s">
        <v>11964</v>
      </c>
      <c r="N581" s="501"/>
      <c r="O581" s="501">
        <v>1980</v>
      </c>
      <c r="P581" s="501">
        <v>1980</v>
      </c>
      <c r="Q581" s="501"/>
      <c r="R581" t="s">
        <v>7331</v>
      </c>
      <c r="S581">
        <v>0</v>
      </c>
    </row>
    <row r="582" spans="1:19">
      <c r="A582" t="s">
        <v>9201</v>
      </c>
      <c r="B582">
        <v>103</v>
      </c>
      <c r="C582" t="s">
        <v>7328</v>
      </c>
      <c r="D582" t="s">
        <v>10251</v>
      </c>
      <c r="E582" t="s">
        <v>10301</v>
      </c>
      <c r="F582" t="s">
        <v>10253</v>
      </c>
      <c r="G582" t="s">
        <v>10302</v>
      </c>
      <c r="H582">
        <v>-6.5</v>
      </c>
      <c r="L582" t="s">
        <v>7330</v>
      </c>
      <c r="M582" t="s">
        <v>7330</v>
      </c>
      <c r="N582" s="501">
        <v>33651</v>
      </c>
      <c r="O582" s="501">
        <v>103</v>
      </c>
      <c r="P582" s="501">
        <v>0</v>
      </c>
      <c r="Q582" s="501">
        <v>33754</v>
      </c>
      <c r="R582" t="s">
        <v>7331</v>
      </c>
      <c r="S582">
        <v>0</v>
      </c>
    </row>
    <row r="583" spans="1:19">
      <c r="A583" t="s">
        <v>9201</v>
      </c>
      <c r="B583">
        <v>103</v>
      </c>
      <c r="C583" t="s">
        <v>7328</v>
      </c>
      <c r="D583" t="s">
        <v>10251</v>
      </c>
      <c r="E583" t="s">
        <v>10303</v>
      </c>
      <c r="F583" t="s">
        <v>10253</v>
      </c>
      <c r="G583" t="s">
        <v>10304</v>
      </c>
      <c r="H583">
        <v>-7</v>
      </c>
      <c r="L583" t="s">
        <v>7330</v>
      </c>
      <c r="M583" t="s">
        <v>7330</v>
      </c>
      <c r="N583" s="501">
        <v>16714</v>
      </c>
      <c r="O583" s="501">
        <v>20</v>
      </c>
      <c r="P583" s="501">
        <v>0</v>
      </c>
      <c r="Q583" s="501">
        <v>16734</v>
      </c>
      <c r="R583" t="s">
        <v>7331</v>
      </c>
      <c r="S583">
        <v>0</v>
      </c>
    </row>
    <row r="584" spans="1:19">
      <c r="A584" t="s">
        <v>9201</v>
      </c>
      <c r="B584">
        <v>103</v>
      </c>
      <c r="C584" t="s">
        <v>7328</v>
      </c>
      <c r="D584" t="s">
        <v>10251</v>
      </c>
      <c r="E584" t="s">
        <v>10305</v>
      </c>
      <c r="F584" t="s">
        <v>10253</v>
      </c>
      <c r="G584" t="s">
        <v>10306</v>
      </c>
      <c r="H584">
        <v>-7.5</v>
      </c>
      <c r="L584" t="s">
        <v>7330</v>
      </c>
      <c r="M584" t="s">
        <v>7330</v>
      </c>
      <c r="N584" s="501">
        <v>16479</v>
      </c>
      <c r="O584" s="501"/>
      <c r="P584" s="501">
        <v>0</v>
      </c>
      <c r="Q584" s="501">
        <v>16479</v>
      </c>
      <c r="R584" t="s">
        <v>7331</v>
      </c>
      <c r="S584">
        <v>0</v>
      </c>
    </row>
    <row r="585" spans="1:19">
      <c r="A585" t="s">
        <v>9201</v>
      </c>
      <c r="B585">
        <v>103</v>
      </c>
      <c r="C585" t="s">
        <v>7328</v>
      </c>
      <c r="D585" t="s">
        <v>10251</v>
      </c>
      <c r="E585" t="s">
        <v>10307</v>
      </c>
      <c r="F585" t="s">
        <v>10253</v>
      </c>
      <c r="G585" t="s">
        <v>10308</v>
      </c>
      <c r="H585">
        <v>-8</v>
      </c>
      <c r="L585" t="s">
        <v>7330</v>
      </c>
      <c r="M585" t="s">
        <v>7330</v>
      </c>
      <c r="N585" s="501">
        <v>9734</v>
      </c>
      <c r="O585" s="501">
        <v>158</v>
      </c>
      <c r="P585" s="501">
        <v>0</v>
      </c>
      <c r="Q585" s="501">
        <v>9892</v>
      </c>
      <c r="R585" t="s">
        <v>7331</v>
      </c>
      <c r="S585">
        <v>0</v>
      </c>
    </row>
    <row r="586" spans="1:19">
      <c r="A586" t="s">
        <v>9201</v>
      </c>
      <c r="B586">
        <v>103</v>
      </c>
      <c r="C586" t="s">
        <v>7328</v>
      </c>
      <c r="D586" t="s">
        <v>10251</v>
      </c>
      <c r="E586" t="s">
        <v>10307</v>
      </c>
      <c r="F586" t="s">
        <v>10253</v>
      </c>
      <c r="G586" t="s">
        <v>10308</v>
      </c>
      <c r="H586">
        <v>-8</v>
      </c>
      <c r="K586" t="s">
        <v>9343</v>
      </c>
      <c r="L586" t="s">
        <v>10309</v>
      </c>
      <c r="M586" t="s">
        <v>10310</v>
      </c>
      <c r="N586" s="501"/>
      <c r="O586" s="501">
        <v>60</v>
      </c>
      <c r="P586" s="501">
        <v>60</v>
      </c>
      <c r="Q586" s="501"/>
      <c r="R586" t="s">
        <v>7331</v>
      </c>
      <c r="S586">
        <v>0</v>
      </c>
    </row>
    <row r="587" spans="1:19">
      <c r="A587" t="s">
        <v>9201</v>
      </c>
      <c r="B587">
        <v>103</v>
      </c>
      <c r="C587" t="s">
        <v>7328</v>
      </c>
      <c r="D587" t="s">
        <v>10251</v>
      </c>
      <c r="E587" t="s">
        <v>10311</v>
      </c>
      <c r="F587" t="s">
        <v>10253</v>
      </c>
      <c r="G587" t="s">
        <v>10312</v>
      </c>
      <c r="H587">
        <v>-8.5</v>
      </c>
      <c r="L587" t="s">
        <v>7330</v>
      </c>
      <c r="M587" t="s">
        <v>7330</v>
      </c>
      <c r="N587" s="501">
        <v>11589</v>
      </c>
      <c r="O587" s="501"/>
      <c r="P587" s="501">
        <v>0</v>
      </c>
      <c r="Q587" s="501">
        <v>11589</v>
      </c>
      <c r="R587" t="s">
        <v>7331</v>
      </c>
      <c r="S587">
        <v>0</v>
      </c>
    </row>
    <row r="588" spans="1:19">
      <c r="A588" t="s">
        <v>9201</v>
      </c>
      <c r="B588">
        <v>103</v>
      </c>
      <c r="C588" t="s">
        <v>7328</v>
      </c>
      <c r="D588" t="s">
        <v>10251</v>
      </c>
      <c r="E588" t="s">
        <v>10313</v>
      </c>
      <c r="F588" t="s">
        <v>10253</v>
      </c>
      <c r="G588" t="s">
        <v>10314</v>
      </c>
      <c r="H588">
        <v>-9</v>
      </c>
      <c r="L588" t="s">
        <v>7330</v>
      </c>
      <c r="M588" t="s">
        <v>7330</v>
      </c>
      <c r="N588" s="501">
        <v>10596</v>
      </c>
      <c r="O588" s="501"/>
      <c r="P588" s="501">
        <v>0</v>
      </c>
      <c r="Q588" s="501">
        <v>10596</v>
      </c>
      <c r="R588" t="s">
        <v>7331</v>
      </c>
      <c r="S588">
        <v>0</v>
      </c>
    </row>
    <row r="589" spans="1:19">
      <c r="A589" t="s">
        <v>9201</v>
      </c>
      <c r="B589">
        <v>103</v>
      </c>
      <c r="C589" t="s">
        <v>7328</v>
      </c>
      <c r="D589" t="s">
        <v>10251</v>
      </c>
      <c r="E589" t="s">
        <v>10315</v>
      </c>
      <c r="F589" t="s">
        <v>10253</v>
      </c>
      <c r="G589" t="s">
        <v>10316</v>
      </c>
      <c r="H589">
        <v>-9.5</v>
      </c>
      <c r="L589" t="s">
        <v>7330</v>
      </c>
      <c r="M589" t="s">
        <v>7330</v>
      </c>
      <c r="N589" s="501">
        <v>1715</v>
      </c>
      <c r="O589" s="501">
        <v>175</v>
      </c>
      <c r="P589">
        <v>0</v>
      </c>
      <c r="Q589" s="501">
        <v>1890</v>
      </c>
      <c r="R589" t="s">
        <v>7331</v>
      </c>
      <c r="S589">
        <v>0</v>
      </c>
    </row>
    <row r="590" spans="1:19">
      <c r="A590" t="s">
        <v>9201</v>
      </c>
      <c r="B590">
        <v>103</v>
      </c>
      <c r="C590" t="s">
        <v>7328</v>
      </c>
      <c r="D590" t="s">
        <v>10251</v>
      </c>
      <c r="E590" t="s">
        <v>10317</v>
      </c>
      <c r="F590" t="s">
        <v>10253</v>
      </c>
      <c r="G590" t="s">
        <v>10318</v>
      </c>
      <c r="H590">
        <v>-10</v>
      </c>
      <c r="L590" t="s">
        <v>7330</v>
      </c>
      <c r="M590" t="s">
        <v>7330</v>
      </c>
      <c r="N590" s="501">
        <v>3064</v>
      </c>
      <c r="O590">
        <v>280</v>
      </c>
      <c r="P590">
        <v>0</v>
      </c>
      <c r="Q590" s="501">
        <v>3344</v>
      </c>
      <c r="R590" t="s">
        <v>7331</v>
      </c>
      <c r="S590">
        <v>0</v>
      </c>
    </row>
    <row r="591" spans="1:19">
      <c r="A591" t="s">
        <v>9201</v>
      </c>
      <c r="B591">
        <v>103</v>
      </c>
      <c r="C591" t="s">
        <v>7328</v>
      </c>
      <c r="D591" t="s">
        <v>10319</v>
      </c>
      <c r="E591" t="s">
        <v>10320</v>
      </c>
      <c r="F591" t="s">
        <v>763</v>
      </c>
      <c r="G591" t="s">
        <v>10321</v>
      </c>
      <c r="H591">
        <v>0</v>
      </c>
      <c r="L591" t="s">
        <v>7330</v>
      </c>
      <c r="M591" t="s">
        <v>7330</v>
      </c>
      <c r="N591" s="501">
        <v>18498</v>
      </c>
      <c r="O591" s="501">
        <v>20</v>
      </c>
      <c r="P591" s="501">
        <v>20</v>
      </c>
      <c r="Q591" s="501">
        <v>18498</v>
      </c>
      <c r="R591" t="s">
        <v>7331</v>
      </c>
      <c r="S591">
        <v>0</v>
      </c>
    </row>
    <row r="592" spans="1:19">
      <c r="A592" t="s">
        <v>9201</v>
      </c>
      <c r="B592">
        <v>103</v>
      </c>
      <c r="C592" t="s">
        <v>7328</v>
      </c>
      <c r="D592" t="s">
        <v>10319</v>
      </c>
      <c r="E592" t="s">
        <v>10320</v>
      </c>
      <c r="F592" t="s">
        <v>763</v>
      </c>
      <c r="G592" t="s">
        <v>10321</v>
      </c>
      <c r="H592">
        <v>0</v>
      </c>
      <c r="K592" t="s">
        <v>10179</v>
      </c>
      <c r="L592" t="s">
        <v>10322</v>
      </c>
      <c r="M592" t="s">
        <v>10323</v>
      </c>
      <c r="O592" s="501">
        <v>10</v>
      </c>
      <c r="P592" s="501">
        <v>10</v>
      </c>
      <c r="Q592" s="501"/>
      <c r="R592" t="s">
        <v>7331</v>
      </c>
      <c r="S592">
        <v>0</v>
      </c>
    </row>
    <row r="593" spans="1:19">
      <c r="A593" t="s">
        <v>9201</v>
      </c>
      <c r="B593">
        <v>103</v>
      </c>
      <c r="C593" t="s">
        <v>7328</v>
      </c>
      <c r="D593" t="s">
        <v>10319</v>
      </c>
      <c r="E593" t="s">
        <v>10324</v>
      </c>
      <c r="F593" t="s">
        <v>763</v>
      </c>
      <c r="G593" t="s">
        <v>10325</v>
      </c>
      <c r="H593">
        <v>-0.5</v>
      </c>
      <c r="L593" t="s">
        <v>7330</v>
      </c>
      <c r="M593" t="s">
        <v>7330</v>
      </c>
      <c r="N593" s="501">
        <v>403</v>
      </c>
      <c r="O593" s="501"/>
      <c r="P593" s="501">
        <v>0</v>
      </c>
      <c r="Q593" s="501">
        <v>403</v>
      </c>
      <c r="R593" t="s">
        <v>7331</v>
      </c>
      <c r="S593">
        <v>0</v>
      </c>
    </row>
    <row r="594" spans="1:19">
      <c r="A594" t="s">
        <v>9201</v>
      </c>
      <c r="B594">
        <v>103</v>
      </c>
      <c r="C594" t="s">
        <v>7328</v>
      </c>
      <c r="D594" t="s">
        <v>10319</v>
      </c>
      <c r="E594" t="s">
        <v>10326</v>
      </c>
      <c r="F594" t="s">
        <v>763</v>
      </c>
      <c r="G594" t="s">
        <v>10327</v>
      </c>
      <c r="H594">
        <v>-0.75</v>
      </c>
      <c r="L594" t="s">
        <v>7330</v>
      </c>
      <c r="M594" t="s">
        <v>7330</v>
      </c>
      <c r="N594" s="501">
        <v>31842</v>
      </c>
      <c r="O594" s="501">
        <v>8</v>
      </c>
      <c r="P594" s="501">
        <v>90</v>
      </c>
      <c r="Q594" s="501">
        <v>31760</v>
      </c>
      <c r="R594" t="s">
        <v>7331</v>
      </c>
      <c r="S594">
        <v>0</v>
      </c>
    </row>
    <row r="595" spans="1:19">
      <c r="A595" t="s">
        <v>9201</v>
      </c>
      <c r="B595">
        <v>103</v>
      </c>
      <c r="C595" t="s">
        <v>7328</v>
      </c>
      <c r="D595" t="s">
        <v>10319</v>
      </c>
      <c r="E595" t="s">
        <v>10328</v>
      </c>
      <c r="F595" t="s">
        <v>763</v>
      </c>
      <c r="G595" t="s">
        <v>10329</v>
      </c>
      <c r="H595">
        <v>-1</v>
      </c>
      <c r="L595" t="s">
        <v>7330</v>
      </c>
      <c r="M595" t="s">
        <v>7330</v>
      </c>
      <c r="N595" s="501">
        <v>10465</v>
      </c>
      <c r="O595" s="501"/>
      <c r="P595" s="501">
        <v>0</v>
      </c>
      <c r="Q595" s="501">
        <v>10465</v>
      </c>
      <c r="R595" t="s">
        <v>7331</v>
      </c>
      <c r="S595">
        <v>0</v>
      </c>
    </row>
    <row r="596" spans="1:19">
      <c r="A596" t="s">
        <v>9201</v>
      </c>
      <c r="B596">
        <v>103</v>
      </c>
      <c r="C596" t="s">
        <v>7328</v>
      </c>
      <c r="D596" t="s">
        <v>10319</v>
      </c>
      <c r="E596" t="s">
        <v>10330</v>
      </c>
      <c r="F596" t="s">
        <v>763</v>
      </c>
      <c r="G596" t="s">
        <v>10331</v>
      </c>
      <c r="H596">
        <v>-1.25</v>
      </c>
      <c r="L596" t="s">
        <v>7330</v>
      </c>
      <c r="M596" t="s">
        <v>7330</v>
      </c>
      <c r="N596" s="501">
        <v>4027</v>
      </c>
      <c r="O596" s="501"/>
      <c r="P596" s="501">
        <v>4</v>
      </c>
      <c r="Q596" s="501">
        <v>4023</v>
      </c>
      <c r="R596" t="s">
        <v>7331</v>
      </c>
      <c r="S596">
        <v>0</v>
      </c>
    </row>
    <row r="597" spans="1:19">
      <c r="A597" t="s">
        <v>9201</v>
      </c>
      <c r="B597">
        <v>103</v>
      </c>
      <c r="C597" t="s">
        <v>7328</v>
      </c>
      <c r="D597" t="s">
        <v>10319</v>
      </c>
      <c r="E597" t="s">
        <v>10332</v>
      </c>
      <c r="F597" t="s">
        <v>763</v>
      </c>
      <c r="G597" t="s">
        <v>10333</v>
      </c>
      <c r="H597">
        <v>-1.5</v>
      </c>
      <c r="L597" t="s">
        <v>7330</v>
      </c>
      <c r="M597" t="s">
        <v>7330</v>
      </c>
      <c r="N597" s="501">
        <v>3814</v>
      </c>
      <c r="O597" s="501">
        <v>1850</v>
      </c>
      <c r="P597" s="501">
        <v>1850</v>
      </c>
      <c r="Q597" s="501">
        <v>3814</v>
      </c>
      <c r="R597" t="s">
        <v>7331</v>
      </c>
      <c r="S597">
        <v>0</v>
      </c>
    </row>
    <row r="598" spans="1:19">
      <c r="A598" t="s">
        <v>9201</v>
      </c>
      <c r="B598">
        <v>103</v>
      </c>
      <c r="C598" t="s">
        <v>7328</v>
      </c>
      <c r="D598" t="s">
        <v>10319</v>
      </c>
      <c r="E598" t="s">
        <v>10332</v>
      </c>
      <c r="F598" t="s">
        <v>763</v>
      </c>
      <c r="G598" t="s">
        <v>10333</v>
      </c>
      <c r="H598">
        <v>-1.5</v>
      </c>
      <c r="K598" t="s">
        <v>10179</v>
      </c>
      <c r="L598" t="s">
        <v>11965</v>
      </c>
      <c r="M598" t="s">
        <v>11966</v>
      </c>
      <c r="N598" s="501"/>
      <c r="O598" s="501">
        <v>1850</v>
      </c>
      <c r="P598" s="501">
        <v>1850</v>
      </c>
      <c r="Q598" s="501"/>
      <c r="R598" t="s">
        <v>7331</v>
      </c>
      <c r="S598">
        <v>0</v>
      </c>
    </row>
    <row r="599" spans="1:19">
      <c r="A599" t="s">
        <v>9201</v>
      </c>
      <c r="B599">
        <v>103</v>
      </c>
      <c r="C599" t="s">
        <v>7328</v>
      </c>
      <c r="D599" t="s">
        <v>10319</v>
      </c>
      <c r="E599" t="s">
        <v>10334</v>
      </c>
      <c r="F599" t="s">
        <v>763</v>
      </c>
      <c r="G599" t="s">
        <v>10335</v>
      </c>
      <c r="H599">
        <v>-1.75</v>
      </c>
      <c r="L599" t="s">
        <v>7330</v>
      </c>
      <c r="M599" t="s">
        <v>7330</v>
      </c>
      <c r="N599" s="501">
        <v>1471</v>
      </c>
      <c r="O599" s="501">
        <v>3095</v>
      </c>
      <c r="P599" s="501">
        <v>3095</v>
      </c>
      <c r="Q599" s="501">
        <v>1471</v>
      </c>
      <c r="R599" t="s">
        <v>7331</v>
      </c>
      <c r="S599">
        <v>0</v>
      </c>
    </row>
    <row r="600" spans="1:19">
      <c r="A600" t="s">
        <v>9201</v>
      </c>
      <c r="B600">
        <v>103</v>
      </c>
      <c r="C600" t="s">
        <v>7328</v>
      </c>
      <c r="D600" t="s">
        <v>10319</v>
      </c>
      <c r="E600" t="s">
        <v>10334</v>
      </c>
      <c r="F600" t="s">
        <v>763</v>
      </c>
      <c r="G600" t="s">
        <v>10335</v>
      </c>
      <c r="H600">
        <v>-1.75</v>
      </c>
      <c r="K600" t="s">
        <v>10179</v>
      </c>
      <c r="L600" t="s">
        <v>11967</v>
      </c>
      <c r="M600" t="s">
        <v>11968</v>
      </c>
      <c r="N600" s="501"/>
      <c r="O600" s="501">
        <v>1280</v>
      </c>
      <c r="P600" s="501">
        <v>1280</v>
      </c>
      <c r="Q600" s="501"/>
      <c r="R600" t="s">
        <v>7331</v>
      </c>
      <c r="S600">
        <v>0</v>
      </c>
    </row>
    <row r="601" spans="1:19">
      <c r="A601" t="s">
        <v>9201</v>
      </c>
      <c r="B601">
        <v>103</v>
      </c>
      <c r="C601" t="s">
        <v>7328</v>
      </c>
      <c r="D601" t="s">
        <v>10319</v>
      </c>
      <c r="E601" t="s">
        <v>10334</v>
      </c>
      <c r="F601" t="s">
        <v>763</v>
      </c>
      <c r="G601" t="s">
        <v>10335</v>
      </c>
      <c r="H601">
        <v>-1.75</v>
      </c>
      <c r="K601" t="s">
        <v>10179</v>
      </c>
      <c r="L601" t="s">
        <v>11969</v>
      </c>
      <c r="M601" t="s">
        <v>11970</v>
      </c>
      <c r="N601" s="501"/>
      <c r="O601" s="501">
        <v>1815</v>
      </c>
      <c r="P601" s="501">
        <v>1815</v>
      </c>
      <c r="Q601" s="501"/>
      <c r="R601" t="s">
        <v>7331</v>
      </c>
      <c r="S601">
        <v>0</v>
      </c>
    </row>
    <row r="602" spans="1:19">
      <c r="A602" t="s">
        <v>9201</v>
      </c>
      <c r="B602">
        <v>103</v>
      </c>
      <c r="C602" t="s">
        <v>7328</v>
      </c>
      <c r="D602" t="s">
        <v>10319</v>
      </c>
      <c r="E602" t="s">
        <v>10336</v>
      </c>
      <c r="F602" t="s">
        <v>763</v>
      </c>
      <c r="G602" t="s">
        <v>10337</v>
      </c>
      <c r="H602">
        <v>-2</v>
      </c>
      <c r="L602" t="s">
        <v>7330</v>
      </c>
      <c r="M602" t="s">
        <v>7330</v>
      </c>
      <c r="N602" s="501">
        <v>1442</v>
      </c>
      <c r="O602" s="501">
        <v>16</v>
      </c>
      <c r="P602" s="501">
        <v>0</v>
      </c>
      <c r="Q602" s="501">
        <v>1458</v>
      </c>
      <c r="R602" t="s">
        <v>7331</v>
      </c>
      <c r="S602">
        <v>0</v>
      </c>
    </row>
    <row r="603" spans="1:19">
      <c r="A603" t="s">
        <v>9201</v>
      </c>
      <c r="B603">
        <v>103</v>
      </c>
      <c r="C603" t="s">
        <v>7328</v>
      </c>
      <c r="D603" t="s">
        <v>10319</v>
      </c>
      <c r="E603" t="s">
        <v>10338</v>
      </c>
      <c r="F603" t="s">
        <v>763</v>
      </c>
      <c r="G603" t="s">
        <v>10339</v>
      </c>
      <c r="H603">
        <v>-2.25</v>
      </c>
      <c r="L603" t="s">
        <v>7330</v>
      </c>
      <c r="M603" t="s">
        <v>7330</v>
      </c>
      <c r="N603" s="501">
        <v>655</v>
      </c>
      <c r="O603" s="501">
        <v>1670</v>
      </c>
      <c r="P603" s="501">
        <v>1670</v>
      </c>
      <c r="Q603" s="501">
        <v>655</v>
      </c>
      <c r="R603" t="s">
        <v>7331</v>
      </c>
      <c r="S603">
        <v>0</v>
      </c>
    </row>
    <row r="604" spans="1:19">
      <c r="A604" t="s">
        <v>9201</v>
      </c>
      <c r="B604">
        <v>103</v>
      </c>
      <c r="C604" t="s">
        <v>7328</v>
      </c>
      <c r="D604" t="s">
        <v>10319</v>
      </c>
      <c r="E604" t="s">
        <v>10338</v>
      </c>
      <c r="F604" t="s">
        <v>763</v>
      </c>
      <c r="G604" t="s">
        <v>10339</v>
      </c>
      <c r="H604">
        <v>-2.25</v>
      </c>
      <c r="K604" t="s">
        <v>10179</v>
      </c>
      <c r="L604" t="s">
        <v>11971</v>
      </c>
      <c r="M604" t="s">
        <v>11972</v>
      </c>
      <c r="N604" s="501"/>
      <c r="O604" s="501">
        <v>1670</v>
      </c>
      <c r="P604" s="501">
        <v>1670</v>
      </c>
      <c r="Q604" s="501"/>
      <c r="R604" t="s">
        <v>7331</v>
      </c>
      <c r="S604">
        <v>0</v>
      </c>
    </row>
    <row r="605" spans="1:19">
      <c r="A605" t="s">
        <v>9201</v>
      </c>
      <c r="B605">
        <v>103</v>
      </c>
      <c r="C605" t="s">
        <v>7328</v>
      </c>
      <c r="D605" t="s">
        <v>10319</v>
      </c>
      <c r="E605" t="s">
        <v>10340</v>
      </c>
      <c r="F605" t="s">
        <v>763</v>
      </c>
      <c r="G605" t="s">
        <v>10341</v>
      </c>
      <c r="H605">
        <v>-2.5</v>
      </c>
      <c r="L605" t="s">
        <v>7330</v>
      </c>
      <c r="M605" t="s">
        <v>7330</v>
      </c>
      <c r="N605" s="501">
        <v>2395</v>
      </c>
      <c r="O605" s="501">
        <v>16</v>
      </c>
      <c r="P605" s="501">
        <v>0</v>
      </c>
      <c r="Q605" s="501">
        <v>2411</v>
      </c>
      <c r="R605" t="s">
        <v>7331</v>
      </c>
      <c r="S605">
        <v>0</v>
      </c>
    </row>
    <row r="606" spans="1:19">
      <c r="A606" t="s">
        <v>9201</v>
      </c>
      <c r="B606">
        <v>103</v>
      </c>
      <c r="C606" t="s">
        <v>7328</v>
      </c>
      <c r="D606" t="s">
        <v>10319</v>
      </c>
      <c r="E606" t="s">
        <v>10342</v>
      </c>
      <c r="F606" t="s">
        <v>763</v>
      </c>
      <c r="G606" t="s">
        <v>10343</v>
      </c>
      <c r="H606">
        <v>-2.75</v>
      </c>
      <c r="L606" t="s">
        <v>7330</v>
      </c>
      <c r="M606" t="s">
        <v>7330</v>
      </c>
      <c r="N606" s="501">
        <v>884</v>
      </c>
      <c r="O606" s="501"/>
      <c r="P606" s="501">
        <v>0</v>
      </c>
      <c r="Q606" s="501">
        <v>884</v>
      </c>
      <c r="R606" t="s">
        <v>7331</v>
      </c>
      <c r="S606">
        <v>0</v>
      </c>
    </row>
    <row r="607" spans="1:19">
      <c r="A607" t="s">
        <v>9201</v>
      </c>
      <c r="B607">
        <v>103</v>
      </c>
      <c r="C607" t="s">
        <v>7328</v>
      </c>
      <c r="D607" t="s">
        <v>10319</v>
      </c>
      <c r="E607" t="s">
        <v>10344</v>
      </c>
      <c r="F607" t="s">
        <v>763</v>
      </c>
      <c r="G607" t="s">
        <v>10345</v>
      </c>
      <c r="H607">
        <v>-3</v>
      </c>
      <c r="L607" t="s">
        <v>7330</v>
      </c>
      <c r="M607" t="s">
        <v>7330</v>
      </c>
      <c r="N607" s="501">
        <v>771</v>
      </c>
      <c r="O607" s="501"/>
      <c r="P607" s="501">
        <v>0</v>
      </c>
      <c r="Q607" s="501">
        <v>771</v>
      </c>
      <c r="R607" t="s">
        <v>7331</v>
      </c>
      <c r="S607">
        <v>0</v>
      </c>
    </row>
    <row r="608" spans="1:19">
      <c r="A608" t="s">
        <v>9201</v>
      </c>
      <c r="B608">
        <v>103</v>
      </c>
      <c r="C608" t="s">
        <v>7328</v>
      </c>
      <c r="D608" t="s">
        <v>10319</v>
      </c>
      <c r="E608" t="s">
        <v>10346</v>
      </c>
      <c r="F608" t="s">
        <v>763</v>
      </c>
      <c r="G608" t="s">
        <v>10347</v>
      </c>
      <c r="H608">
        <v>-3.25</v>
      </c>
      <c r="L608" t="s">
        <v>7330</v>
      </c>
      <c r="M608" t="s">
        <v>7330</v>
      </c>
      <c r="N608" s="501">
        <v>469</v>
      </c>
      <c r="O608" s="501">
        <v>1650</v>
      </c>
      <c r="P608" s="501">
        <v>1645</v>
      </c>
      <c r="Q608" s="501">
        <v>474</v>
      </c>
      <c r="R608" t="s">
        <v>7331</v>
      </c>
      <c r="S608">
        <v>0</v>
      </c>
    </row>
    <row r="609" spans="1:19">
      <c r="A609" t="s">
        <v>9201</v>
      </c>
      <c r="B609">
        <v>103</v>
      </c>
      <c r="C609" t="s">
        <v>7328</v>
      </c>
      <c r="D609" t="s">
        <v>10319</v>
      </c>
      <c r="E609" t="s">
        <v>10346</v>
      </c>
      <c r="F609" t="s">
        <v>763</v>
      </c>
      <c r="G609" t="s">
        <v>10347</v>
      </c>
      <c r="H609">
        <v>-3.25</v>
      </c>
      <c r="K609" t="s">
        <v>11881</v>
      </c>
      <c r="L609" t="s">
        <v>11973</v>
      </c>
      <c r="M609" t="s">
        <v>11974</v>
      </c>
      <c r="N609" s="501"/>
      <c r="O609" s="501">
        <v>1645</v>
      </c>
      <c r="P609" s="501">
        <v>1645</v>
      </c>
      <c r="Q609" s="501"/>
      <c r="R609" t="s">
        <v>7331</v>
      </c>
      <c r="S609">
        <v>0</v>
      </c>
    </row>
    <row r="610" spans="1:19">
      <c r="A610" t="s">
        <v>9201</v>
      </c>
      <c r="B610">
        <v>103</v>
      </c>
      <c r="C610" t="s">
        <v>7328</v>
      </c>
      <c r="D610" t="s">
        <v>10319</v>
      </c>
      <c r="E610" t="s">
        <v>10348</v>
      </c>
      <c r="F610" t="s">
        <v>763</v>
      </c>
      <c r="G610" t="s">
        <v>10349</v>
      </c>
      <c r="H610">
        <v>-3.5</v>
      </c>
      <c r="L610" t="s">
        <v>7330</v>
      </c>
      <c r="M610" t="s">
        <v>7330</v>
      </c>
      <c r="N610" s="501">
        <v>7757</v>
      </c>
      <c r="O610" s="501">
        <v>1680</v>
      </c>
      <c r="P610" s="501">
        <v>1680</v>
      </c>
      <c r="Q610" s="501">
        <v>7757</v>
      </c>
      <c r="R610" t="s">
        <v>7331</v>
      </c>
      <c r="S610">
        <v>0</v>
      </c>
    </row>
    <row r="611" spans="1:19">
      <c r="A611" t="s">
        <v>9201</v>
      </c>
      <c r="B611">
        <v>103</v>
      </c>
      <c r="C611" t="s">
        <v>7328</v>
      </c>
      <c r="D611" t="s">
        <v>10319</v>
      </c>
      <c r="E611" t="s">
        <v>10348</v>
      </c>
      <c r="F611" t="s">
        <v>763</v>
      </c>
      <c r="G611" t="s">
        <v>10349</v>
      </c>
      <c r="H611">
        <v>-3.5</v>
      </c>
      <c r="K611" t="s">
        <v>10179</v>
      </c>
      <c r="L611" t="s">
        <v>11975</v>
      </c>
      <c r="M611" t="s">
        <v>11976</v>
      </c>
      <c r="N611" s="501"/>
      <c r="O611" s="501">
        <v>1680</v>
      </c>
      <c r="P611" s="501">
        <v>1680</v>
      </c>
      <c r="Q611" s="501"/>
      <c r="R611" t="s">
        <v>7331</v>
      </c>
      <c r="S611">
        <v>0</v>
      </c>
    </row>
    <row r="612" spans="1:19">
      <c r="A612" t="s">
        <v>9201</v>
      </c>
      <c r="B612">
        <v>103</v>
      </c>
      <c r="C612" t="s">
        <v>7328</v>
      </c>
      <c r="D612" t="s">
        <v>10319</v>
      </c>
      <c r="E612" t="s">
        <v>10350</v>
      </c>
      <c r="F612" t="s">
        <v>763</v>
      </c>
      <c r="G612" t="s">
        <v>10351</v>
      </c>
      <c r="H612">
        <v>-3.75</v>
      </c>
      <c r="L612" t="s">
        <v>7330</v>
      </c>
      <c r="M612" t="s">
        <v>7330</v>
      </c>
      <c r="N612" s="501">
        <v>6561</v>
      </c>
      <c r="O612" s="501">
        <v>1585</v>
      </c>
      <c r="P612" s="501">
        <v>1585</v>
      </c>
      <c r="Q612" s="501">
        <v>6561</v>
      </c>
      <c r="R612" t="s">
        <v>7331</v>
      </c>
      <c r="S612">
        <v>0</v>
      </c>
    </row>
    <row r="613" spans="1:19">
      <c r="A613" t="s">
        <v>9201</v>
      </c>
      <c r="B613">
        <v>103</v>
      </c>
      <c r="C613" t="s">
        <v>7328</v>
      </c>
      <c r="D613" t="s">
        <v>10319</v>
      </c>
      <c r="E613" t="s">
        <v>10350</v>
      </c>
      <c r="F613" t="s">
        <v>763</v>
      </c>
      <c r="G613" t="s">
        <v>10351</v>
      </c>
      <c r="H613">
        <v>-3.75</v>
      </c>
      <c r="K613" t="s">
        <v>10179</v>
      </c>
      <c r="L613" t="s">
        <v>11977</v>
      </c>
      <c r="M613" t="s">
        <v>11978</v>
      </c>
      <c r="N613" s="501"/>
      <c r="O613" s="501">
        <v>1585</v>
      </c>
      <c r="P613" s="501">
        <v>1585</v>
      </c>
      <c r="Q613" s="501"/>
      <c r="R613" t="s">
        <v>7331</v>
      </c>
      <c r="S613">
        <v>0</v>
      </c>
    </row>
    <row r="614" spans="1:19">
      <c r="A614" t="s">
        <v>9201</v>
      </c>
      <c r="B614">
        <v>103</v>
      </c>
      <c r="C614" t="s">
        <v>7328</v>
      </c>
      <c r="D614" t="s">
        <v>10319</v>
      </c>
      <c r="E614" t="s">
        <v>10352</v>
      </c>
      <c r="F614" t="s">
        <v>763</v>
      </c>
      <c r="G614" t="s">
        <v>10353</v>
      </c>
      <c r="H614">
        <v>-4</v>
      </c>
      <c r="L614" t="s">
        <v>7330</v>
      </c>
      <c r="M614" t="s">
        <v>7330</v>
      </c>
      <c r="N614" s="501">
        <v>773</v>
      </c>
      <c r="P614">
        <v>0</v>
      </c>
      <c r="Q614" s="501">
        <v>773</v>
      </c>
      <c r="R614" t="s">
        <v>7331</v>
      </c>
      <c r="S614">
        <v>0</v>
      </c>
    </row>
    <row r="615" spans="1:19">
      <c r="A615" t="s">
        <v>9201</v>
      </c>
      <c r="B615">
        <v>103</v>
      </c>
      <c r="C615" t="s">
        <v>7328</v>
      </c>
      <c r="D615" t="s">
        <v>10319</v>
      </c>
      <c r="E615" t="s">
        <v>10354</v>
      </c>
      <c r="F615" t="s">
        <v>763</v>
      </c>
      <c r="G615" t="s">
        <v>10355</v>
      </c>
      <c r="H615">
        <v>-4.25</v>
      </c>
      <c r="L615" t="s">
        <v>7330</v>
      </c>
      <c r="M615" t="s">
        <v>7330</v>
      </c>
      <c r="N615" s="501">
        <v>1500</v>
      </c>
      <c r="O615" s="501">
        <v>1575</v>
      </c>
      <c r="P615" s="501">
        <v>1575</v>
      </c>
      <c r="Q615" s="501">
        <v>1500</v>
      </c>
      <c r="R615" t="s">
        <v>7331</v>
      </c>
      <c r="S615">
        <v>0</v>
      </c>
    </row>
    <row r="616" spans="1:19">
      <c r="A616" t="s">
        <v>9201</v>
      </c>
      <c r="B616">
        <v>103</v>
      </c>
      <c r="C616" t="s">
        <v>7328</v>
      </c>
      <c r="D616" t="s">
        <v>10319</v>
      </c>
      <c r="E616" t="s">
        <v>10354</v>
      </c>
      <c r="F616" t="s">
        <v>763</v>
      </c>
      <c r="G616" t="s">
        <v>10355</v>
      </c>
      <c r="H616">
        <v>-4.25</v>
      </c>
      <c r="K616" t="s">
        <v>10179</v>
      </c>
      <c r="L616" t="s">
        <v>11979</v>
      </c>
      <c r="M616" t="s">
        <v>11980</v>
      </c>
      <c r="N616" s="501"/>
      <c r="O616" s="501">
        <v>1575</v>
      </c>
      <c r="P616" s="501">
        <v>1575</v>
      </c>
      <c r="Q616" s="501"/>
      <c r="R616" t="s">
        <v>7331</v>
      </c>
      <c r="S616">
        <v>0</v>
      </c>
    </row>
    <row r="617" spans="1:19">
      <c r="A617" t="s">
        <v>9201</v>
      </c>
      <c r="B617">
        <v>103</v>
      </c>
      <c r="C617" t="s">
        <v>7328</v>
      </c>
      <c r="D617" t="s">
        <v>10319</v>
      </c>
      <c r="E617" t="s">
        <v>10356</v>
      </c>
      <c r="F617" t="s">
        <v>763</v>
      </c>
      <c r="G617" t="s">
        <v>10357</v>
      </c>
      <c r="H617">
        <v>-4.5</v>
      </c>
      <c r="L617" t="s">
        <v>7330</v>
      </c>
      <c r="M617" t="s">
        <v>7330</v>
      </c>
      <c r="N617" s="501">
        <v>1252</v>
      </c>
      <c r="O617" s="501">
        <v>1775</v>
      </c>
      <c r="P617" s="501">
        <v>1775</v>
      </c>
      <c r="Q617" s="501">
        <v>1252</v>
      </c>
      <c r="R617" t="s">
        <v>7331</v>
      </c>
      <c r="S617">
        <v>0</v>
      </c>
    </row>
    <row r="618" spans="1:19">
      <c r="A618" t="s">
        <v>9201</v>
      </c>
      <c r="B618">
        <v>103</v>
      </c>
      <c r="C618" t="s">
        <v>7328</v>
      </c>
      <c r="D618" t="s">
        <v>10319</v>
      </c>
      <c r="E618" t="s">
        <v>10356</v>
      </c>
      <c r="F618" t="s">
        <v>763</v>
      </c>
      <c r="G618" t="s">
        <v>10357</v>
      </c>
      <c r="H618">
        <v>-4.5</v>
      </c>
      <c r="K618" t="s">
        <v>10179</v>
      </c>
      <c r="L618" t="s">
        <v>11981</v>
      </c>
      <c r="M618" t="s">
        <v>11982</v>
      </c>
      <c r="N618" s="501"/>
      <c r="O618" s="501">
        <v>1775</v>
      </c>
      <c r="P618" s="501">
        <v>1775</v>
      </c>
      <c r="Q618" s="501"/>
      <c r="R618" t="s">
        <v>7331</v>
      </c>
      <c r="S618">
        <v>0</v>
      </c>
    </row>
    <row r="619" spans="1:19">
      <c r="A619" t="s">
        <v>9201</v>
      </c>
      <c r="B619">
        <v>103</v>
      </c>
      <c r="C619" t="s">
        <v>7328</v>
      </c>
      <c r="D619" t="s">
        <v>10319</v>
      </c>
      <c r="E619" t="s">
        <v>10358</v>
      </c>
      <c r="F619" t="s">
        <v>763</v>
      </c>
      <c r="G619" t="s">
        <v>10359</v>
      </c>
      <c r="H619">
        <v>-4.75</v>
      </c>
      <c r="L619" t="s">
        <v>7330</v>
      </c>
      <c r="M619" t="s">
        <v>7330</v>
      </c>
      <c r="N619" s="501">
        <v>2973</v>
      </c>
      <c r="O619" s="501">
        <v>1635</v>
      </c>
      <c r="P619" s="501">
        <v>1635</v>
      </c>
      <c r="Q619" s="501">
        <v>2973</v>
      </c>
      <c r="R619" t="s">
        <v>7331</v>
      </c>
      <c r="S619">
        <v>0</v>
      </c>
    </row>
    <row r="620" spans="1:19">
      <c r="A620" t="s">
        <v>9201</v>
      </c>
      <c r="B620">
        <v>103</v>
      </c>
      <c r="C620" t="s">
        <v>7328</v>
      </c>
      <c r="D620" t="s">
        <v>10319</v>
      </c>
      <c r="E620" t="s">
        <v>10358</v>
      </c>
      <c r="F620" t="s">
        <v>763</v>
      </c>
      <c r="G620" t="s">
        <v>10359</v>
      </c>
      <c r="H620">
        <v>-4.75</v>
      </c>
      <c r="K620" t="s">
        <v>10179</v>
      </c>
      <c r="L620" t="s">
        <v>11983</v>
      </c>
      <c r="M620" t="s">
        <v>11984</v>
      </c>
      <c r="N620" s="501"/>
      <c r="O620" s="501">
        <v>1635</v>
      </c>
      <c r="P620" s="501">
        <v>1635</v>
      </c>
      <c r="Q620" s="501"/>
      <c r="R620" t="s">
        <v>7331</v>
      </c>
      <c r="S620">
        <v>0</v>
      </c>
    </row>
    <row r="621" spans="1:19">
      <c r="A621" t="s">
        <v>9201</v>
      </c>
      <c r="B621">
        <v>103</v>
      </c>
      <c r="C621" t="s">
        <v>7328</v>
      </c>
      <c r="D621" t="s">
        <v>10319</v>
      </c>
      <c r="E621" t="s">
        <v>10360</v>
      </c>
      <c r="F621" t="s">
        <v>763</v>
      </c>
      <c r="G621" t="s">
        <v>10361</v>
      </c>
      <c r="H621">
        <v>-5</v>
      </c>
      <c r="L621" t="s">
        <v>7330</v>
      </c>
      <c r="M621" t="s">
        <v>7330</v>
      </c>
      <c r="N621" s="501">
        <v>2146</v>
      </c>
      <c r="O621" s="501">
        <v>1580</v>
      </c>
      <c r="P621" s="501">
        <v>1580</v>
      </c>
      <c r="Q621" s="501">
        <v>2146</v>
      </c>
      <c r="R621" t="s">
        <v>7331</v>
      </c>
      <c r="S621">
        <v>0</v>
      </c>
    </row>
    <row r="622" spans="1:19">
      <c r="A622" t="s">
        <v>9201</v>
      </c>
      <c r="B622">
        <v>103</v>
      </c>
      <c r="C622" t="s">
        <v>7328</v>
      </c>
      <c r="D622" t="s">
        <v>10319</v>
      </c>
      <c r="E622" t="s">
        <v>10360</v>
      </c>
      <c r="F622" t="s">
        <v>763</v>
      </c>
      <c r="G622" t="s">
        <v>10361</v>
      </c>
      <c r="H622">
        <v>-5</v>
      </c>
      <c r="K622" t="s">
        <v>10179</v>
      </c>
      <c r="L622" t="s">
        <v>11985</v>
      </c>
      <c r="M622" t="s">
        <v>11986</v>
      </c>
      <c r="N622" s="501"/>
      <c r="O622" s="501">
        <v>1580</v>
      </c>
      <c r="P622" s="501">
        <v>1580</v>
      </c>
      <c r="Q622" s="501"/>
      <c r="R622" t="s">
        <v>7331</v>
      </c>
      <c r="S622">
        <v>0</v>
      </c>
    </row>
    <row r="623" spans="1:19">
      <c r="A623" t="s">
        <v>9201</v>
      </c>
      <c r="B623">
        <v>103</v>
      </c>
      <c r="C623" t="s">
        <v>7328</v>
      </c>
      <c r="D623" t="s">
        <v>10319</v>
      </c>
      <c r="E623" t="s">
        <v>10362</v>
      </c>
      <c r="F623" t="s">
        <v>763</v>
      </c>
      <c r="G623" t="s">
        <v>10363</v>
      </c>
      <c r="H623">
        <v>-5.5</v>
      </c>
      <c r="L623" t="s">
        <v>7330</v>
      </c>
      <c r="M623" t="s">
        <v>7330</v>
      </c>
      <c r="N623" s="501">
        <v>5406</v>
      </c>
      <c r="P623">
        <v>0</v>
      </c>
      <c r="Q623" s="501">
        <v>5406</v>
      </c>
      <c r="R623" t="s">
        <v>7331</v>
      </c>
      <c r="S623">
        <v>0</v>
      </c>
    </row>
    <row r="624" spans="1:19">
      <c r="A624" t="s">
        <v>9201</v>
      </c>
      <c r="B624">
        <v>103</v>
      </c>
      <c r="C624" t="s">
        <v>7328</v>
      </c>
      <c r="D624" t="s">
        <v>10319</v>
      </c>
      <c r="E624" t="s">
        <v>10364</v>
      </c>
      <c r="F624" t="s">
        <v>763</v>
      </c>
      <c r="G624" t="s">
        <v>10365</v>
      </c>
      <c r="H624">
        <v>-6</v>
      </c>
      <c r="L624" t="s">
        <v>7330</v>
      </c>
      <c r="M624" t="s">
        <v>7330</v>
      </c>
      <c r="N624" s="501">
        <v>6195</v>
      </c>
      <c r="O624" s="501">
        <v>2895</v>
      </c>
      <c r="P624" s="501">
        <v>2895</v>
      </c>
      <c r="Q624" s="501">
        <v>6195</v>
      </c>
      <c r="R624" t="s">
        <v>7331</v>
      </c>
      <c r="S624">
        <v>0</v>
      </c>
    </row>
    <row r="625" spans="1:19">
      <c r="A625" t="s">
        <v>9201</v>
      </c>
      <c r="B625">
        <v>103</v>
      </c>
      <c r="C625" t="s">
        <v>7328</v>
      </c>
      <c r="D625" t="s">
        <v>10319</v>
      </c>
      <c r="E625" t="s">
        <v>10364</v>
      </c>
      <c r="F625" t="s">
        <v>763</v>
      </c>
      <c r="G625" t="s">
        <v>10365</v>
      </c>
      <c r="H625">
        <v>-6</v>
      </c>
      <c r="K625" t="s">
        <v>10179</v>
      </c>
      <c r="L625" t="s">
        <v>11987</v>
      </c>
      <c r="M625" t="s">
        <v>11988</v>
      </c>
      <c r="N625" s="501"/>
      <c r="O625" s="501">
        <v>1390</v>
      </c>
      <c r="P625" s="501">
        <v>1390</v>
      </c>
      <c r="Q625" s="501"/>
      <c r="R625" t="s">
        <v>7331</v>
      </c>
      <c r="S625">
        <v>0</v>
      </c>
    </row>
    <row r="626" spans="1:19">
      <c r="A626" t="s">
        <v>9201</v>
      </c>
      <c r="B626">
        <v>103</v>
      </c>
      <c r="C626" t="s">
        <v>7328</v>
      </c>
      <c r="D626" t="s">
        <v>10319</v>
      </c>
      <c r="E626" t="s">
        <v>10364</v>
      </c>
      <c r="F626" t="s">
        <v>763</v>
      </c>
      <c r="G626" t="s">
        <v>10365</v>
      </c>
      <c r="H626">
        <v>-6</v>
      </c>
      <c r="K626" t="s">
        <v>10179</v>
      </c>
      <c r="L626" t="s">
        <v>11989</v>
      </c>
      <c r="M626" t="s">
        <v>11990</v>
      </c>
      <c r="N626" s="501"/>
      <c r="O626" s="501">
        <v>1505</v>
      </c>
      <c r="P626" s="501">
        <v>1505</v>
      </c>
      <c r="Q626" s="501"/>
      <c r="R626" t="s">
        <v>7331</v>
      </c>
      <c r="S626">
        <v>0</v>
      </c>
    </row>
    <row r="627" spans="1:19">
      <c r="A627" t="s">
        <v>9201</v>
      </c>
      <c r="B627">
        <v>103</v>
      </c>
      <c r="C627" t="s">
        <v>7328</v>
      </c>
      <c r="D627" t="s">
        <v>10319</v>
      </c>
      <c r="E627" t="s">
        <v>10366</v>
      </c>
      <c r="F627" t="s">
        <v>763</v>
      </c>
      <c r="G627" t="s">
        <v>10367</v>
      </c>
      <c r="H627">
        <v>-6.5</v>
      </c>
      <c r="L627" t="s">
        <v>7330</v>
      </c>
      <c r="M627" t="s">
        <v>7330</v>
      </c>
      <c r="N627" s="501">
        <v>12954</v>
      </c>
      <c r="P627">
        <v>0</v>
      </c>
      <c r="Q627" s="501">
        <v>12954</v>
      </c>
      <c r="R627" t="s">
        <v>7331</v>
      </c>
      <c r="S627">
        <v>0</v>
      </c>
    </row>
    <row r="628" spans="1:19">
      <c r="A628" t="s">
        <v>9201</v>
      </c>
      <c r="B628">
        <v>103</v>
      </c>
      <c r="C628" t="s">
        <v>7328</v>
      </c>
      <c r="D628" t="s">
        <v>10319</v>
      </c>
      <c r="E628" t="s">
        <v>10368</v>
      </c>
      <c r="F628" t="s">
        <v>763</v>
      </c>
      <c r="G628" t="s">
        <v>10369</v>
      </c>
      <c r="H628">
        <v>-7</v>
      </c>
      <c r="L628" t="s">
        <v>7330</v>
      </c>
      <c r="M628" t="s">
        <v>7330</v>
      </c>
      <c r="N628" s="501">
        <v>3133</v>
      </c>
      <c r="O628" s="501">
        <v>1580</v>
      </c>
      <c r="P628" s="501">
        <v>1588</v>
      </c>
      <c r="Q628" s="501">
        <v>3125</v>
      </c>
      <c r="R628" t="s">
        <v>7331</v>
      </c>
      <c r="S628">
        <v>0</v>
      </c>
    </row>
    <row r="629" spans="1:19">
      <c r="A629" t="s">
        <v>9201</v>
      </c>
      <c r="B629">
        <v>103</v>
      </c>
      <c r="C629" t="s">
        <v>7328</v>
      </c>
      <c r="D629" t="s">
        <v>10319</v>
      </c>
      <c r="E629" t="s">
        <v>10368</v>
      </c>
      <c r="F629" t="s">
        <v>763</v>
      </c>
      <c r="G629" t="s">
        <v>10369</v>
      </c>
      <c r="H629">
        <v>-7</v>
      </c>
      <c r="K629" t="s">
        <v>10179</v>
      </c>
      <c r="L629" t="s">
        <v>11991</v>
      </c>
      <c r="M629" t="s">
        <v>11992</v>
      </c>
      <c r="N629" s="501"/>
      <c r="O629" s="501">
        <v>1580</v>
      </c>
      <c r="P629" s="501">
        <v>1580</v>
      </c>
      <c r="Q629" s="501"/>
      <c r="R629" t="s">
        <v>7331</v>
      </c>
      <c r="S629">
        <v>0</v>
      </c>
    </row>
    <row r="630" spans="1:19">
      <c r="A630" t="s">
        <v>9201</v>
      </c>
      <c r="B630">
        <v>103</v>
      </c>
      <c r="C630" t="s">
        <v>7328</v>
      </c>
      <c r="D630" t="s">
        <v>10319</v>
      </c>
      <c r="E630" t="s">
        <v>10370</v>
      </c>
      <c r="F630" t="s">
        <v>763</v>
      </c>
      <c r="G630" t="s">
        <v>10371</v>
      </c>
      <c r="H630">
        <v>-7.5</v>
      </c>
      <c r="L630" t="s">
        <v>7330</v>
      </c>
      <c r="M630" t="s">
        <v>7330</v>
      </c>
      <c r="N630" s="501">
        <v>7720</v>
      </c>
      <c r="O630">
        <v>16</v>
      </c>
      <c r="P630">
        <v>0</v>
      </c>
      <c r="Q630" s="501">
        <v>7736</v>
      </c>
      <c r="R630" t="s">
        <v>7331</v>
      </c>
      <c r="S630">
        <v>0</v>
      </c>
    </row>
    <row r="631" spans="1:19">
      <c r="A631" t="s">
        <v>9201</v>
      </c>
      <c r="B631">
        <v>103</v>
      </c>
      <c r="C631" t="s">
        <v>7328</v>
      </c>
      <c r="D631" t="s">
        <v>10319</v>
      </c>
      <c r="E631" t="s">
        <v>10372</v>
      </c>
      <c r="F631" t="s">
        <v>763</v>
      </c>
      <c r="G631" t="s">
        <v>10373</v>
      </c>
      <c r="H631">
        <v>-8</v>
      </c>
      <c r="L631" t="s">
        <v>7330</v>
      </c>
      <c r="M631" t="s">
        <v>7330</v>
      </c>
      <c r="N631" s="501">
        <v>113</v>
      </c>
      <c r="O631">
        <v>4</v>
      </c>
      <c r="P631">
        <v>0</v>
      </c>
      <c r="Q631" s="501">
        <v>117</v>
      </c>
      <c r="R631" t="s">
        <v>7331</v>
      </c>
      <c r="S631">
        <v>0</v>
      </c>
    </row>
    <row r="632" spans="1:19">
      <c r="A632" t="s">
        <v>9201</v>
      </c>
      <c r="B632">
        <v>103</v>
      </c>
      <c r="C632" t="s">
        <v>7328</v>
      </c>
      <c r="D632" t="s">
        <v>10319</v>
      </c>
      <c r="E632" t="s">
        <v>10374</v>
      </c>
      <c r="F632" t="s">
        <v>763</v>
      </c>
      <c r="G632" t="s">
        <v>10375</v>
      </c>
      <c r="H632">
        <v>-8.5</v>
      </c>
      <c r="L632" t="s">
        <v>7330</v>
      </c>
      <c r="M632" t="s">
        <v>7330</v>
      </c>
      <c r="N632" s="501">
        <v>1882</v>
      </c>
      <c r="P632">
        <v>0</v>
      </c>
      <c r="Q632" s="501">
        <v>1882</v>
      </c>
      <c r="R632" t="s">
        <v>7331</v>
      </c>
      <c r="S632">
        <v>0</v>
      </c>
    </row>
    <row r="633" spans="1:19">
      <c r="A633" t="s">
        <v>9201</v>
      </c>
      <c r="B633">
        <v>103</v>
      </c>
      <c r="C633" t="s">
        <v>7328</v>
      </c>
      <c r="D633" t="s">
        <v>10319</v>
      </c>
      <c r="E633" t="s">
        <v>10376</v>
      </c>
      <c r="F633" t="s">
        <v>763</v>
      </c>
      <c r="G633" t="s">
        <v>10377</v>
      </c>
      <c r="H633">
        <v>-9</v>
      </c>
      <c r="L633" t="s">
        <v>7330</v>
      </c>
      <c r="M633" t="s">
        <v>7330</v>
      </c>
      <c r="N633" s="501">
        <v>2604</v>
      </c>
      <c r="P633">
        <v>0</v>
      </c>
      <c r="Q633" s="501">
        <v>2604</v>
      </c>
      <c r="R633" t="s">
        <v>7331</v>
      </c>
      <c r="S633">
        <v>0</v>
      </c>
    </row>
    <row r="634" spans="1:19">
      <c r="A634" t="s">
        <v>9201</v>
      </c>
      <c r="B634">
        <v>103</v>
      </c>
      <c r="C634" t="s">
        <v>7328</v>
      </c>
      <c r="D634" t="s">
        <v>10319</v>
      </c>
      <c r="E634" t="s">
        <v>10378</v>
      </c>
      <c r="F634" t="s">
        <v>763</v>
      </c>
      <c r="G634" t="s">
        <v>10379</v>
      </c>
      <c r="H634">
        <v>-9.5</v>
      </c>
      <c r="L634" t="s">
        <v>7330</v>
      </c>
      <c r="M634" t="s">
        <v>7330</v>
      </c>
      <c r="N634" s="501">
        <v>1849</v>
      </c>
      <c r="P634">
        <v>0</v>
      </c>
      <c r="Q634" s="501">
        <v>1849</v>
      </c>
      <c r="R634" t="s">
        <v>7331</v>
      </c>
      <c r="S634">
        <v>0</v>
      </c>
    </row>
    <row r="635" spans="1:19">
      <c r="A635" t="s">
        <v>9201</v>
      </c>
      <c r="B635">
        <v>103</v>
      </c>
      <c r="C635" t="s">
        <v>7328</v>
      </c>
      <c r="D635" t="s">
        <v>10319</v>
      </c>
      <c r="E635" t="s">
        <v>10380</v>
      </c>
      <c r="F635" t="s">
        <v>763</v>
      </c>
      <c r="G635" t="s">
        <v>10381</v>
      </c>
      <c r="H635">
        <v>-10</v>
      </c>
      <c r="L635" t="s">
        <v>7330</v>
      </c>
      <c r="M635" t="s">
        <v>7330</v>
      </c>
      <c r="N635" s="501">
        <v>2978</v>
      </c>
      <c r="P635">
        <v>0</v>
      </c>
      <c r="Q635" s="501">
        <v>2978</v>
      </c>
      <c r="R635" t="s">
        <v>7331</v>
      </c>
      <c r="S635">
        <v>0</v>
      </c>
    </row>
    <row r="636" spans="1:19">
      <c r="A636" t="s">
        <v>9201</v>
      </c>
      <c r="B636">
        <v>103</v>
      </c>
      <c r="C636" t="s">
        <v>7328</v>
      </c>
      <c r="D636" t="s">
        <v>10382</v>
      </c>
      <c r="E636" t="s">
        <v>10383</v>
      </c>
      <c r="F636" t="s">
        <v>10384</v>
      </c>
      <c r="G636" t="s">
        <v>10385</v>
      </c>
      <c r="H636">
        <v>0</v>
      </c>
      <c r="L636" t="s">
        <v>7330</v>
      </c>
      <c r="M636" t="s">
        <v>7330</v>
      </c>
      <c r="N636" s="501">
        <v>49412</v>
      </c>
      <c r="P636">
        <v>20</v>
      </c>
      <c r="Q636" s="501">
        <v>49392</v>
      </c>
      <c r="R636" t="s">
        <v>7331</v>
      </c>
      <c r="S636">
        <v>0</v>
      </c>
    </row>
    <row r="637" spans="1:19">
      <c r="A637" t="s">
        <v>9201</v>
      </c>
      <c r="B637">
        <v>103</v>
      </c>
      <c r="C637" t="s">
        <v>7328</v>
      </c>
      <c r="D637" t="s">
        <v>10382</v>
      </c>
      <c r="E637" t="s">
        <v>10383</v>
      </c>
      <c r="F637" t="s">
        <v>10384</v>
      </c>
      <c r="G637" t="s">
        <v>10385</v>
      </c>
      <c r="H637">
        <v>0</v>
      </c>
      <c r="K637" t="s">
        <v>10172</v>
      </c>
      <c r="L637" t="s">
        <v>10386</v>
      </c>
      <c r="M637" t="s">
        <v>10387</v>
      </c>
      <c r="N637" s="501"/>
      <c r="O637">
        <v>10</v>
      </c>
      <c r="P637">
        <v>10</v>
      </c>
      <c r="Q637" s="501"/>
      <c r="R637" t="s">
        <v>7331</v>
      </c>
      <c r="S637">
        <v>0</v>
      </c>
    </row>
    <row r="638" spans="1:19">
      <c r="A638" t="s">
        <v>9201</v>
      </c>
      <c r="B638">
        <v>103</v>
      </c>
      <c r="C638" t="s">
        <v>7328</v>
      </c>
      <c r="D638" t="s">
        <v>10382</v>
      </c>
      <c r="E638" t="s">
        <v>10388</v>
      </c>
      <c r="F638" t="s">
        <v>10384</v>
      </c>
      <c r="G638" t="s">
        <v>10389</v>
      </c>
      <c r="H638">
        <v>-0.5</v>
      </c>
      <c r="L638" t="s">
        <v>7330</v>
      </c>
      <c r="M638" t="s">
        <v>7330</v>
      </c>
      <c r="N638" s="501">
        <v>2647</v>
      </c>
      <c r="P638">
        <v>0</v>
      </c>
      <c r="Q638" s="501">
        <v>2647</v>
      </c>
      <c r="R638" t="s">
        <v>7331</v>
      </c>
      <c r="S638">
        <v>0</v>
      </c>
    </row>
    <row r="639" spans="1:19">
      <c r="A639" t="s">
        <v>9201</v>
      </c>
      <c r="B639">
        <v>103</v>
      </c>
      <c r="C639" t="s">
        <v>7328</v>
      </c>
      <c r="D639" t="s">
        <v>10382</v>
      </c>
      <c r="E639" t="s">
        <v>10390</v>
      </c>
      <c r="F639" t="s">
        <v>10384</v>
      </c>
      <c r="G639" t="s">
        <v>10391</v>
      </c>
      <c r="H639">
        <v>-0.75</v>
      </c>
      <c r="L639" t="s">
        <v>7330</v>
      </c>
      <c r="M639" t="s">
        <v>7330</v>
      </c>
      <c r="N639" s="501">
        <v>13723</v>
      </c>
      <c r="P639">
        <v>0</v>
      </c>
      <c r="Q639" s="501">
        <v>13723</v>
      </c>
      <c r="R639" t="s">
        <v>7331</v>
      </c>
      <c r="S639">
        <v>0</v>
      </c>
    </row>
    <row r="640" spans="1:19">
      <c r="A640" t="s">
        <v>9201</v>
      </c>
      <c r="B640">
        <v>103</v>
      </c>
      <c r="C640" t="s">
        <v>7328</v>
      </c>
      <c r="D640" t="s">
        <v>10382</v>
      </c>
      <c r="E640" t="s">
        <v>10392</v>
      </c>
      <c r="F640" t="s">
        <v>10384</v>
      </c>
      <c r="G640" t="s">
        <v>10393</v>
      </c>
      <c r="H640">
        <v>-1</v>
      </c>
      <c r="L640" t="s">
        <v>7330</v>
      </c>
      <c r="M640" t="s">
        <v>7330</v>
      </c>
      <c r="N640" s="501">
        <v>371</v>
      </c>
      <c r="O640">
        <v>4</v>
      </c>
      <c r="P640">
        <v>0</v>
      </c>
      <c r="Q640" s="501">
        <v>375</v>
      </c>
      <c r="R640" t="s">
        <v>7331</v>
      </c>
      <c r="S640">
        <v>0</v>
      </c>
    </row>
    <row r="641" spans="1:19">
      <c r="A641" t="s">
        <v>9201</v>
      </c>
      <c r="B641">
        <v>103</v>
      </c>
      <c r="C641" t="s">
        <v>7328</v>
      </c>
      <c r="D641" t="s">
        <v>10382</v>
      </c>
      <c r="E641" t="s">
        <v>10394</v>
      </c>
      <c r="F641" t="s">
        <v>10384</v>
      </c>
      <c r="G641" t="s">
        <v>10395</v>
      </c>
      <c r="H641">
        <v>-1.25</v>
      </c>
      <c r="L641" t="s">
        <v>7330</v>
      </c>
      <c r="M641" t="s">
        <v>7330</v>
      </c>
      <c r="N641" s="501">
        <v>457</v>
      </c>
      <c r="P641">
        <v>0</v>
      </c>
      <c r="Q641" s="501">
        <v>457</v>
      </c>
      <c r="R641" t="s">
        <v>7331</v>
      </c>
      <c r="S641">
        <v>0</v>
      </c>
    </row>
    <row r="642" spans="1:19">
      <c r="A642" t="s">
        <v>9201</v>
      </c>
      <c r="B642">
        <v>103</v>
      </c>
      <c r="C642" t="s">
        <v>7328</v>
      </c>
      <c r="D642" t="s">
        <v>10382</v>
      </c>
      <c r="E642" t="s">
        <v>10396</v>
      </c>
      <c r="F642" t="s">
        <v>10384</v>
      </c>
      <c r="G642" t="s">
        <v>10397</v>
      </c>
      <c r="H642">
        <v>-1.5</v>
      </c>
      <c r="L642" t="s">
        <v>7330</v>
      </c>
      <c r="M642" t="s">
        <v>7330</v>
      </c>
      <c r="N642" s="501">
        <v>5937</v>
      </c>
      <c r="O642">
        <v>12</v>
      </c>
      <c r="P642">
        <v>0</v>
      </c>
      <c r="Q642" s="501">
        <v>5949</v>
      </c>
      <c r="R642" t="s">
        <v>7331</v>
      </c>
      <c r="S642">
        <v>0</v>
      </c>
    </row>
    <row r="643" spans="1:19">
      <c r="A643" t="s">
        <v>9201</v>
      </c>
      <c r="B643">
        <v>103</v>
      </c>
      <c r="C643" t="s">
        <v>7328</v>
      </c>
      <c r="D643" t="s">
        <v>10382</v>
      </c>
      <c r="E643" t="s">
        <v>10398</v>
      </c>
      <c r="F643" t="s">
        <v>10384</v>
      </c>
      <c r="G643" t="s">
        <v>10399</v>
      </c>
      <c r="H643">
        <v>-1.75</v>
      </c>
      <c r="L643" t="s">
        <v>7330</v>
      </c>
      <c r="M643" t="s">
        <v>7330</v>
      </c>
      <c r="N643" s="501">
        <v>293</v>
      </c>
      <c r="P643">
        <v>4</v>
      </c>
      <c r="Q643" s="501">
        <v>289</v>
      </c>
      <c r="R643" t="s">
        <v>7331</v>
      </c>
      <c r="S643">
        <v>0</v>
      </c>
    </row>
    <row r="644" spans="1:19">
      <c r="A644" t="s">
        <v>9201</v>
      </c>
      <c r="B644">
        <v>103</v>
      </c>
      <c r="C644" t="s">
        <v>7328</v>
      </c>
      <c r="D644" t="s">
        <v>10382</v>
      </c>
      <c r="E644" t="s">
        <v>10400</v>
      </c>
      <c r="F644" t="s">
        <v>10384</v>
      </c>
      <c r="G644" t="s">
        <v>10401</v>
      </c>
      <c r="H644">
        <v>-2</v>
      </c>
      <c r="L644" t="s">
        <v>7330</v>
      </c>
      <c r="M644" t="s">
        <v>7330</v>
      </c>
      <c r="N644" s="501">
        <v>796</v>
      </c>
      <c r="P644">
        <v>0</v>
      </c>
      <c r="Q644" s="501">
        <v>796</v>
      </c>
      <c r="R644" t="s">
        <v>7331</v>
      </c>
      <c r="S644">
        <v>0</v>
      </c>
    </row>
    <row r="645" spans="1:19">
      <c r="A645" t="s">
        <v>9201</v>
      </c>
      <c r="B645">
        <v>103</v>
      </c>
      <c r="C645" t="s">
        <v>7328</v>
      </c>
      <c r="D645" t="s">
        <v>10382</v>
      </c>
      <c r="E645" t="s">
        <v>10402</v>
      </c>
      <c r="F645" t="s">
        <v>10384</v>
      </c>
      <c r="G645" t="s">
        <v>10403</v>
      </c>
      <c r="H645">
        <v>-2.25</v>
      </c>
      <c r="L645" t="s">
        <v>7330</v>
      </c>
      <c r="M645" t="s">
        <v>7330</v>
      </c>
      <c r="N645" s="501">
        <v>721</v>
      </c>
      <c r="P645">
        <v>0</v>
      </c>
      <c r="Q645" s="501">
        <v>721</v>
      </c>
      <c r="R645" t="s">
        <v>7331</v>
      </c>
      <c r="S645">
        <v>0</v>
      </c>
    </row>
    <row r="646" spans="1:19">
      <c r="A646" t="s">
        <v>9201</v>
      </c>
      <c r="B646">
        <v>103</v>
      </c>
      <c r="C646" t="s">
        <v>7328</v>
      </c>
      <c r="D646" t="s">
        <v>10382</v>
      </c>
      <c r="E646" t="s">
        <v>10404</v>
      </c>
      <c r="F646" t="s">
        <v>10384</v>
      </c>
      <c r="G646" t="s">
        <v>10405</v>
      </c>
      <c r="H646">
        <v>-2.5</v>
      </c>
      <c r="L646" t="s">
        <v>7330</v>
      </c>
      <c r="M646" t="s">
        <v>7330</v>
      </c>
      <c r="N646" s="501">
        <v>397</v>
      </c>
      <c r="P646">
        <v>0</v>
      </c>
      <c r="Q646" s="501">
        <v>397</v>
      </c>
      <c r="R646" t="s">
        <v>7331</v>
      </c>
      <c r="S646">
        <v>0</v>
      </c>
    </row>
    <row r="647" spans="1:19">
      <c r="A647" t="s">
        <v>9201</v>
      </c>
      <c r="B647">
        <v>103</v>
      </c>
      <c r="C647" t="s">
        <v>7328</v>
      </c>
      <c r="D647" t="s">
        <v>10382</v>
      </c>
      <c r="E647" t="s">
        <v>10406</v>
      </c>
      <c r="F647" t="s">
        <v>10384</v>
      </c>
      <c r="G647" t="s">
        <v>10407</v>
      </c>
      <c r="H647">
        <v>-2.75</v>
      </c>
      <c r="L647" t="s">
        <v>7330</v>
      </c>
      <c r="M647" t="s">
        <v>7330</v>
      </c>
      <c r="N647" s="501">
        <v>9799</v>
      </c>
      <c r="O647">
        <v>4</v>
      </c>
      <c r="P647">
        <v>0</v>
      </c>
      <c r="Q647" s="501">
        <v>9803</v>
      </c>
      <c r="R647" t="s">
        <v>7331</v>
      </c>
      <c r="S647">
        <v>0</v>
      </c>
    </row>
    <row r="648" spans="1:19">
      <c r="A648" t="s">
        <v>9201</v>
      </c>
      <c r="B648">
        <v>103</v>
      </c>
      <c r="C648" t="s">
        <v>7328</v>
      </c>
      <c r="D648" t="s">
        <v>10382</v>
      </c>
      <c r="E648" t="s">
        <v>10408</v>
      </c>
      <c r="F648" t="s">
        <v>10384</v>
      </c>
      <c r="G648" t="s">
        <v>10409</v>
      </c>
      <c r="H648">
        <v>-3</v>
      </c>
      <c r="L648" t="s">
        <v>7330</v>
      </c>
      <c r="M648" t="s">
        <v>7330</v>
      </c>
      <c r="N648" s="501">
        <v>4965</v>
      </c>
      <c r="O648" s="501">
        <v>12</v>
      </c>
      <c r="P648">
        <v>0</v>
      </c>
      <c r="Q648" s="501">
        <v>4977</v>
      </c>
      <c r="R648" t="s">
        <v>7331</v>
      </c>
      <c r="S648">
        <v>0</v>
      </c>
    </row>
    <row r="649" spans="1:19">
      <c r="A649" t="s">
        <v>9201</v>
      </c>
      <c r="B649">
        <v>103</v>
      </c>
      <c r="C649" t="s">
        <v>7328</v>
      </c>
      <c r="D649" t="s">
        <v>10382</v>
      </c>
      <c r="E649" t="s">
        <v>10410</v>
      </c>
      <c r="F649" t="s">
        <v>10384</v>
      </c>
      <c r="G649" t="s">
        <v>10411</v>
      </c>
      <c r="H649">
        <v>-3.25</v>
      </c>
      <c r="L649" t="s">
        <v>7330</v>
      </c>
      <c r="M649" t="s">
        <v>7330</v>
      </c>
      <c r="N649" s="501">
        <v>2071</v>
      </c>
      <c r="O649">
        <v>12</v>
      </c>
      <c r="P649">
        <v>0</v>
      </c>
      <c r="Q649" s="501">
        <v>2083</v>
      </c>
      <c r="R649" t="s">
        <v>7331</v>
      </c>
      <c r="S649">
        <v>0</v>
      </c>
    </row>
    <row r="650" spans="1:19">
      <c r="A650" t="s">
        <v>9201</v>
      </c>
      <c r="B650">
        <v>103</v>
      </c>
      <c r="C650" t="s">
        <v>7328</v>
      </c>
      <c r="D650" t="s">
        <v>10382</v>
      </c>
      <c r="E650" t="s">
        <v>10412</v>
      </c>
      <c r="F650" t="s">
        <v>10384</v>
      </c>
      <c r="G650" t="s">
        <v>10413</v>
      </c>
      <c r="H650">
        <v>-3.5</v>
      </c>
      <c r="L650" t="s">
        <v>7330</v>
      </c>
      <c r="M650" t="s">
        <v>7330</v>
      </c>
      <c r="N650" s="501">
        <v>718</v>
      </c>
      <c r="O650" s="501"/>
      <c r="P650">
        <v>0</v>
      </c>
      <c r="Q650" s="501">
        <v>718</v>
      </c>
      <c r="R650" t="s">
        <v>7331</v>
      </c>
      <c r="S650">
        <v>0</v>
      </c>
    </row>
    <row r="651" spans="1:19">
      <c r="A651" t="s">
        <v>9201</v>
      </c>
      <c r="B651">
        <v>103</v>
      </c>
      <c r="C651" t="s">
        <v>7328</v>
      </c>
      <c r="D651" t="s">
        <v>10382</v>
      </c>
      <c r="E651" t="s">
        <v>10414</v>
      </c>
      <c r="F651" t="s">
        <v>10384</v>
      </c>
      <c r="G651" t="s">
        <v>10415</v>
      </c>
      <c r="H651">
        <v>-3.75</v>
      </c>
      <c r="L651" t="s">
        <v>7330</v>
      </c>
      <c r="M651" t="s">
        <v>7330</v>
      </c>
      <c r="N651" s="501">
        <v>517</v>
      </c>
      <c r="O651" s="501"/>
      <c r="P651">
        <v>0</v>
      </c>
      <c r="Q651" s="501">
        <v>517</v>
      </c>
      <c r="R651" t="s">
        <v>7331</v>
      </c>
      <c r="S651">
        <v>0</v>
      </c>
    </row>
    <row r="652" spans="1:19">
      <c r="A652" t="s">
        <v>9201</v>
      </c>
      <c r="B652">
        <v>103</v>
      </c>
      <c r="C652" t="s">
        <v>7328</v>
      </c>
      <c r="D652" t="s">
        <v>10382</v>
      </c>
      <c r="E652" t="s">
        <v>10416</v>
      </c>
      <c r="F652" t="s">
        <v>10384</v>
      </c>
      <c r="G652" t="s">
        <v>10417</v>
      </c>
      <c r="H652">
        <v>-4</v>
      </c>
      <c r="L652" t="s">
        <v>7330</v>
      </c>
      <c r="M652" t="s">
        <v>7330</v>
      </c>
      <c r="N652" s="501">
        <v>477</v>
      </c>
      <c r="O652" s="501"/>
      <c r="P652">
        <v>0</v>
      </c>
      <c r="Q652" s="501">
        <v>477</v>
      </c>
      <c r="R652" t="s">
        <v>7331</v>
      </c>
      <c r="S652">
        <v>0</v>
      </c>
    </row>
    <row r="653" spans="1:19">
      <c r="A653" t="s">
        <v>9201</v>
      </c>
      <c r="B653">
        <v>103</v>
      </c>
      <c r="C653" t="s">
        <v>7328</v>
      </c>
      <c r="D653" t="s">
        <v>10382</v>
      </c>
      <c r="E653" t="s">
        <v>10418</v>
      </c>
      <c r="F653" t="s">
        <v>10384</v>
      </c>
      <c r="G653" t="s">
        <v>10419</v>
      </c>
      <c r="H653">
        <v>-4.25</v>
      </c>
      <c r="L653" t="s">
        <v>7330</v>
      </c>
      <c r="M653" t="s">
        <v>7330</v>
      </c>
      <c r="N653" s="501">
        <v>448</v>
      </c>
      <c r="O653">
        <v>4</v>
      </c>
      <c r="P653">
        <v>4</v>
      </c>
      <c r="Q653" s="501">
        <v>448</v>
      </c>
      <c r="R653" t="s">
        <v>7331</v>
      </c>
      <c r="S653">
        <v>0</v>
      </c>
    </row>
    <row r="654" spans="1:19">
      <c r="A654" t="s">
        <v>9201</v>
      </c>
      <c r="B654">
        <v>103</v>
      </c>
      <c r="C654" t="s">
        <v>7328</v>
      </c>
      <c r="D654" t="s">
        <v>10382</v>
      </c>
      <c r="E654" t="s">
        <v>10420</v>
      </c>
      <c r="F654" t="s">
        <v>10384</v>
      </c>
      <c r="G654" t="s">
        <v>10421</v>
      </c>
      <c r="H654">
        <v>-4.5</v>
      </c>
      <c r="L654" t="s">
        <v>7330</v>
      </c>
      <c r="M654" t="s">
        <v>7330</v>
      </c>
      <c r="N654" s="501">
        <v>658</v>
      </c>
      <c r="P654">
        <v>0</v>
      </c>
      <c r="Q654" s="501">
        <v>658</v>
      </c>
      <c r="R654" t="s">
        <v>7331</v>
      </c>
      <c r="S654">
        <v>0</v>
      </c>
    </row>
    <row r="655" spans="1:19">
      <c r="A655" t="s">
        <v>9201</v>
      </c>
      <c r="B655">
        <v>103</v>
      </c>
      <c r="C655" t="s">
        <v>7328</v>
      </c>
      <c r="D655" t="s">
        <v>10382</v>
      </c>
      <c r="E655" t="s">
        <v>10422</v>
      </c>
      <c r="F655" t="s">
        <v>10384</v>
      </c>
      <c r="G655" t="s">
        <v>10423</v>
      </c>
      <c r="H655">
        <v>-4.75</v>
      </c>
      <c r="L655" t="s">
        <v>7330</v>
      </c>
      <c r="M655" t="s">
        <v>7330</v>
      </c>
      <c r="N655" s="501">
        <v>1992</v>
      </c>
      <c r="O655">
        <v>8</v>
      </c>
      <c r="P655">
        <v>0</v>
      </c>
      <c r="Q655" s="501">
        <v>2000</v>
      </c>
      <c r="R655" t="s">
        <v>7331</v>
      </c>
      <c r="S655">
        <v>0</v>
      </c>
    </row>
    <row r="656" spans="1:19">
      <c r="A656" t="s">
        <v>9201</v>
      </c>
      <c r="B656">
        <v>103</v>
      </c>
      <c r="C656" t="s">
        <v>7328</v>
      </c>
      <c r="D656" t="s">
        <v>10382</v>
      </c>
      <c r="E656" t="s">
        <v>10424</v>
      </c>
      <c r="F656" t="s">
        <v>10384</v>
      </c>
      <c r="G656" t="s">
        <v>10425</v>
      </c>
      <c r="H656">
        <v>-5</v>
      </c>
      <c r="L656" t="s">
        <v>7330</v>
      </c>
      <c r="M656" t="s">
        <v>7330</v>
      </c>
      <c r="N656" s="501">
        <v>321</v>
      </c>
      <c r="P656">
        <v>0</v>
      </c>
      <c r="Q656" s="501">
        <v>321</v>
      </c>
      <c r="R656" t="s">
        <v>7331</v>
      </c>
      <c r="S656">
        <v>0</v>
      </c>
    </row>
    <row r="657" spans="1:19">
      <c r="A657" t="s">
        <v>9201</v>
      </c>
      <c r="B657">
        <v>103</v>
      </c>
      <c r="C657" t="s">
        <v>7328</v>
      </c>
      <c r="D657" t="s">
        <v>10382</v>
      </c>
      <c r="E657" t="s">
        <v>10426</v>
      </c>
      <c r="F657" t="s">
        <v>10384</v>
      </c>
      <c r="G657" t="s">
        <v>10427</v>
      </c>
      <c r="H657">
        <v>-5.5</v>
      </c>
      <c r="L657" t="s">
        <v>7330</v>
      </c>
      <c r="M657" t="s">
        <v>7330</v>
      </c>
      <c r="N657" s="501">
        <v>415</v>
      </c>
      <c r="P657">
        <v>0</v>
      </c>
      <c r="Q657" s="501">
        <v>415</v>
      </c>
      <c r="R657" t="s">
        <v>7331</v>
      </c>
      <c r="S657">
        <v>0</v>
      </c>
    </row>
    <row r="658" spans="1:19">
      <c r="A658" t="s">
        <v>9201</v>
      </c>
      <c r="B658">
        <v>103</v>
      </c>
      <c r="C658" t="s">
        <v>7328</v>
      </c>
      <c r="D658" t="s">
        <v>10382</v>
      </c>
      <c r="E658" t="s">
        <v>10428</v>
      </c>
      <c r="F658" t="s">
        <v>10384</v>
      </c>
      <c r="G658" t="s">
        <v>10429</v>
      </c>
      <c r="H658">
        <v>-6</v>
      </c>
      <c r="L658" t="s">
        <v>7330</v>
      </c>
      <c r="M658" t="s">
        <v>7330</v>
      </c>
      <c r="N658" s="501">
        <v>1558</v>
      </c>
      <c r="P658">
        <v>0</v>
      </c>
      <c r="Q658" s="501">
        <v>1558</v>
      </c>
      <c r="R658" t="s">
        <v>7331</v>
      </c>
      <c r="S658">
        <v>0</v>
      </c>
    </row>
    <row r="659" spans="1:19">
      <c r="A659" t="s">
        <v>9201</v>
      </c>
      <c r="B659">
        <v>103</v>
      </c>
      <c r="C659" t="s">
        <v>7328</v>
      </c>
      <c r="D659" t="s">
        <v>10382</v>
      </c>
      <c r="E659" t="s">
        <v>10430</v>
      </c>
      <c r="F659" t="s">
        <v>10384</v>
      </c>
      <c r="G659" t="s">
        <v>10431</v>
      </c>
      <c r="H659">
        <v>-6.5</v>
      </c>
      <c r="L659" t="s">
        <v>7330</v>
      </c>
      <c r="M659" t="s">
        <v>7330</v>
      </c>
      <c r="N659" s="501">
        <v>4076</v>
      </c>
      <c r="P659">
        <v>0</v>
      </c>
      <c r="Q659" s="501">
        <v>4076</v>
      </c>
      <c r="R659" t="s">
        <v>7331</v>
      </c>
      <c r="S659">
        <v>0</v>
      </c>
    </row>
    <row r="660" spans="1:19">
      <c r="A660" t="s">
        <v>9201</v>
      </c>
      <c r="B660">
        <v>103</v>
      </c>
      <c r="C660" t="s">
        <v>7328</v>
      </c>
      <c r="D660" t="s">
        <v>10382</v>
      </c>
      <c r="E660" t="s">
        <v>10432</v>
      </c>
      <c r="F660" t="s">
        <v>10384</v>
      </c>
      <c r="G660" t="s">
        <v>10433</v>
      </c>
      <c r="H660">
        <v>-7</v>
      </c>
      <c r="L660" t="s">
        <v>7330</v>
      </c>
      <c r="M660" t="s">
        <v>7330</v>
      </c>
      <c r="N660" s="501">
        <v>990</v>
      </c>
      <c r="P660">
        <v>0</v>
      </c>
      <c r="Q660" s="501">
        <v>990</v>
      </c>
      <c r="R660" t="s">
        <v>7331</v>
      </c>
      <c r="S660">
        <v>0</v>
      </c>
    </row>
    <row r="661" spans="1:19">
      <c r="A661" t="s">
        <v>9201</v>
      </c>
      <c r="B661">
        <v>103</v>
      </c>
      <c r="C661" t="s">
        <v>7328</v>
      </c>
      <c r="D661" t="s">
        <v>10382</v>
      </c>
      <c r="E661" t="s">
        <v>10434</v>
      </c>
      <c r="F661" t="s">
        <v>10384</v>
      </c>
      <c r="G661" t="s">
        <v>10435</v>
      </c>
      <c r="H661">
        <v>-7.5</v>
      </c>
      <c r="L661" t="s">
        <v>7330</v>
      </c>
      <c r="M661" t="s">
        <v>7330</v>
      </c>
      <c r="N661" s="501">
        <v>1300</v>
      </c>
      <c r="P661">
        <v>0</v>
      </c>
      <c r="Q661" s="501">
        <v>1300</v>
      </c>
      <c r="R661" t="s">
        <v>7331</v>
      </c>
      <c r="S661">
        <v>0</v>
      </c>
    </row>
    <row r="662" spans="1:19">
      <c r="A662" t="s">
        <v>9201</v>
      </c>
      <c r="B662">
        <v>103</v>
      </c>
      <c r="C662" t="s">
        <v>7328</v>
      </c>
      <c r="D662" t="s">
        <v>10382</v>
      </c>
      <c r="E662" t="s">
        <v>10436</v>
      </c>
      <c r="F662" t="s">
        <v>10384</v>
      </c>
      <c r="G662" t="s">
        <v>10437</v>
      </c>
      <c r="H662">
        <v>-8</v>
      </c>
      <c r="L662" t="s">
        <v>7330</v>
      </c>
      <c r="M662" t="s">
        <v>7330</v>
      </c>
      <c r="N662" s="501">
        <v>974</v>
      </c>
      <c r="P662">
        <v>0</v>
      </c>
      <c r="Q662" s="501">
        <v>974</v>
      </c>
      <c r="R662" t="s">
        <v>7331</v>
      </c>
      <c r="S662">
        <v>0</v>
      </c>
    </row>
    <row r="663" spans="1:19">
      <c r="A663" t="s">
        <v>9201</v>
      </c>
      <c r="B663">
        <v>103</v>
      </c>
      <c r="C663" t="s">
        <v>7328</v>
      </c>
      <c r="D663" t="s">
        <v>10382</v>
      </c>
      <c r="E663" t="s">
        <v>10438</v>
      </c>
      <c r="F663" t="s">
        <v>10384</v>
      </c>
      <c r="G663" t="s">
        <v>10439</v>
      </c>
      <c r="H663">
        <v>-8.5</v>
      </c>
      <c r="L663" t="s">
        <v>7330</v>
      </c>
      <c r="M663" t="s">
        <v>7330</v>
      </c>
      <c r="N663" s="501">
        <v>2772</v>
      </c>
      <c r="O663" s="501"/>
      <c r="P663">
        <v>0</v>
      </c>
      <c r="Q663" s="501">
        <v>2772</v>
      </c>
      <c r="R663" t="s">
        <v>7331</v>
      </c>
      <c r="S663">
        <v>0</v>
      </c>
    </row>
    <row r="664" spans="1:19">
      <c r="A664" t="s">
        <v>9201</v>
      </c>
      <c r="B664">
        <v>103</v>
      </c>
      <c r="C664" t="s">
        <v>7328</v>
      </c>
      <c r="D664" t="s">
        <v>10382</v>
      </c>
      <c r="E664" t="s">
        <v>10440</v>
      </c>
      <c r="F664" t="s">
        <v>10384</v>
      </c>
      <c r="G664" t="s">
        <v>10441</v>
      </c>
      <c r="H664">
        <v>-9</v>
      </c>
      <c r="L664" t="s">
        <v>7330</v>
      </c>
      <c r="M664" t="s">
        <v>7330</v>
      </c>
      <c r="N664" s="501">
        <v>1444</v>
      </c>
      <c r="P664">
        <v>0</v>
      </c>
      <c r="Q664" s="501">
        <v>1444</v>
      </c>
      <c r="R664" t="s">
        <v>7331</v>
      </c>
      <c r="S664">
        <v>0</v>
      </c>
    </row>
    <row r="665" spans="1:19">
      <c r="A665" t="s">
        <v>9201</v>
      </c>
      <c r="B665">
        <v>103</v>
      </c>
      <c r="C665" t="s">
        <v>7328</v>
      </c>
      <c r="D665" t="s">
        <v>10382</v>
      </c>
      <c r="E665" t="s">
        <v>10442</v>
      </c>
      <c r="F665" t="s">
        <v>10384</v>
      </c>
      <c r="G665" t="s">
        <v>10443</v>
      </c>
      <c r="H665">
        <v>-9.5</v>
      </c>
      <c r="L665" t="s">
        <v>7330</v>
      </c>
      <c r="M665" t="s">
        <v>7330</v>
      </c>
      <c r="N665" s="501">
        <v>2398</v>
      </c>
      <c r="P665">
        <v>0</v>
      </c>
      <c r="Q665" s="501">
        <v>2398</v>
      </c>
      <c r="R665" t="s">
        <v>7331</v>
      </c>
      <c r="S665">
        <v>0</v>
      </c>
    </row>
    <row r="666" spans="1:19">
      <c r="A666" t="s">
        <v>9201</v>
      </c>
      <c r="B666">
        <v>103</v>
      </c>
      <c r="C666" t="s">
        <v>7328</v>
      </c>
      <c r="D666" t="s">
        <v>10382</v>
      </c>
      <c r="E666" t="s">
        <v>10444</v>
      </c>
      <c r="F666" t="s">
        <v>10384</v>
      </c>
      <c r="G666" t="s">
        <v>10445</v>
      </c>
      <c r="H666">
        <v>-10</v>
      </c>
      <c r="L666" t="s">
        <v>7330</v>
      </c>
      <c r="M666" t="s">
        <v>7330</v>
      </c>
      <c r="N666" s="501">
        <v>940</v>
      </c>
      <c r="P666">
        <v>0</v>
      </c>
      <c r="Q666" s="501">
        <v>940</v>
      </c>
      <c r="R666" t="s">
        <v>7331</v>
      </c>
      <c r="S666">
        <v>0</v>
      </c>
    </row>
    <row r="667" spans="1:19">
      <c r="A667" t="s">
        <v>9201</v>
      </c>
      <c r="B667">
        <v>103</v>
      </c>
      <c r="C667" t="s">
        <v>7328</v>
      </c>
      <c r="D667" t="s">
        <v>10446</v>
      </c>
      <c r="E667" t="s">
        <v>10447</v>
      </c>
      <c r="F667" t="s">
        <v>10448</v>
      </c>
      <c r="G667" t="s">
        <v>10449</v>
      </c>
      <c r="H667">
        <v>0</v>
      </c>
      <c r="L667" t="s">
        <v>7330</v>
      </c>
      <c r="M667" t="s">
        <v>7330</v>
      </c>
      <c r="N667" s="501">
        <v>17946</v>
      </c>
      <c r="P667">
        <v>20</v>
      </c>
      <c r="Q667" s="501">
        <v>17926</v>
      </c>
      <c r="R667" t="s">
        <v>7331</v>
      </c>
      <c r="S667">
        <v>0</v>
      </c>
    </row>
    <row r="668" spans="1:19">
      <c r="A668" t="s">
        <v>9201</v>
      </c>
      <c r="B668">
        <v>103</v>
      </c>
      <c r="C668" t="s">
        <v>7328</v>
      </c>
      <c r="D668" t="s">
        <v>10446</v>
      </c>
      <c r="E668" t="s">
        <v>10447</v>
      </c>
      <c r="F668" t="s">
        <v>10448</v>
      </c>
      <c r="G668" t="s">
        <v>10449</v>
      </c>
      <c r="H668">
        <v>0</v>
      </c>
      <c r="K668" t="s">
        <v>9337</v>
      </c>
      <c r="L668" t="s">
        <v>10450</v>
      </c>
      <c r="M668" t="s">
        <v>10451</v>
      </c>
      <c r="N668" s="501"/>
      <c r="O668">
        <v>10</v>
      </c>
      <c r="P668">
        <v>10</v>
      </c>
      <c r="Q668" s="501"/>
      <c r="R668" t="s">
        <v>7331</v>
      </c>
      <c r="S668">
        <v>0</v>
      </c>
    </row>
    <row r="669" spans="1:19">
      <c r="A669" t="s">
        <v>9201</v>
      </c>
      <c r="B669">
        <v>103</v>
      </c>
      <c r="C669" t="s">
        <v>7328</v>
      </c>
      <c r="D669" t="s">
        <v>10446</v>
      </c>
      <c r="E669" t="s">
        <v>10452</v>
      </c>
      <c r="F669" t="s">
        <v>10448</v>
      </c>
      <c r="G669" t="s">
        <v>10453</v>
      </c>
      <c r="H669">
        <v>-0.5</v>
      </c>
      <c r="L669" t="s">
        <v>7330</v>
      </c>
      <c r="M669" t="s">
        <v>7330</v>
      </c>
      <c r="N669" s="501">
        <v>3471</v>
      </c>
      <c r="P669">
        <v>0</v>
      </c>
      <c r="Q669" s="501">
        <v>3471</v>
      </c>
      <c r="R669" t="s">
        <v>7331</v>
      </c>
      <c r="S669">
        <v>0</v>
      </c>
    </row>
    <row r="670" spans="1:19">
      <c r="A670" t="s">
        <v>9201</v>
      </c>
      <c r="B670">
        <v>103</v>
      </c>
      <c r="C670" t="s">
        <v>7328</v>
      </c>
      <c r="D670" t="s">
        <v>10446</v>
      </c>
      <c r="E670" t="s">
        <v>10454</v>
      </c>
      <c r="F670" t="s">
        <v>10448</v>
      </c>
      <c r="G670" t="s">
        <v>10455</v>
      </c>
      <c r="H670">
        <v>-0.75</v>
      </c>
      <c r="L670" t="s">
        <v>7330</v>
      </c>
      <c r="M670" t="s">
        <v>7330</v>
      </c>
      <c r="N670" s="501">
        <v>3583</v>
      </c>
      <c r="O670" s="501"/>
      <c r="P670">
        <v>0</v>
      </c>
      <c r="Q670" s="501">
        <v>3583</v>
      </c>
      <c r="R670" t="s">
        <v>7331</v>
      </c>
      <c r="S670">
        <v>0</v>
      </c>
    </row>
    <row r="671" spans="1:19">
      <c r="A671" t="s">
        <v>9201</v>
      </c>
      <c r="B671">
        <v>103</v>
      </c>
      <c r="C671" t="s">
        <v>7328</v>
      </c>
      <c r="D671" t="s">
        <v>10446</v>
      </c>
      <c r="E671" t="s">
        <v>10456</v>
      </c>
      <c r="F671" t="s">
        <v>10448</v>
      </c>
      <c r="G671" t="s">
        <v>10457</v>
      </c>
      <c r="H671">
        <v>-1</v>
      </c>
      <c r="L671" t="s">
        <v>7330</v>
      </c>
      <c r="M671" t="s">
        <v>7330</v>
      </c>
      <c r="N671" s="501">
        <v>3182</v>
      </c>
      <c r="O671" s="501"/>
      <c r="P671">
        <v>0</v>
      </c>
      <c r="Q671" s="501">
        <v>3182</v>
      </c>
      <c r="R671" t="s">
        <v>7331</v>
      </c>
      <c r="S671">
        <v>0</v>
      </c>
    </row>
    <row r="672" spans="1:19">
      <c r="A672" t="s">
        <v>9201</v>
      </c>
      <c r="B672">
        <v>103</v>
      </c>
      <c r="C672" t="s">
        <v>7328</v>
      </c>
      <c r="D672" t="s">
        <v>10446</v>
      </c>
      <c r="E672" t="s">
        <v>10458</v>
      </c>
      <c r="F672" t="s">
        <v>10448</v>
      </c>
      <c r="G672" t="s">
        <v>10459</v>
      </c>
      <c r="H672">
        <v>-1.25</v>
      </c>
      <c r="L672" t="s">
        <v>7330</v>
      </c>
      <c r="M672" t="s">
        <v>7330</v>
      </c>
      <c r="N672" s="501">
        <v>3044</v>
      </c>
      <c r="P672">
        <v>0</v>
      </c>
      <c r="Q672" s="501">
        <v>3044</v>
      </c>
      <c r="R672" t="s">
        <v>7331</v>
      </c>
      <c r="S672">
        <v>0</v>
      </c>
    </row>
    <row r="673" spans="1:19">
      <c r="A673" t="s">
        <v>9201</v>
      </c>
      <c r="B673">
        <v>103</v>
      </c>
      <c r="C673" t="s">
        <v>7328</v>
      </c>
      <c r="D673" t="s">
        <v>10446</v>
      </c>
      <c r="E673" t="s">
        <v>10460</v>
      </c>
      <c r="F673" t="s">
        <v>10448</v>
      </c>
      <c r="G673" t="s">
        <v>10461</v>
      </c>
      <c r="H673">
        <v>-1.5</v>
      </c>
      <c r="L673" t="s">
        <v>7330</v>
      </c>
      <c r="M673" t="s">
        <v>7330</v>
      </c>
      <c r="N673" s="501">
        <v>2683</v>
      </c>
      <c r="P673">
        <v>0</v>
      </c>
      <c r="Q673" s="501">
        <v>2683</v>
      </c>
      <c r="R673" t="s">
        <v>7331</v>
      </c>
      <c r="S673">
        <v>0</v>
      </c>
    </row>
    <row r="674" spans="1:19">
      <c r="A674" t="s">
        <v>9201</v>
      </c>
      <c r="B674">
        <v>103</v>
      </c>
      <c r="C674" t="s">
        <v>7328</v>
      </c>
      <c r="D674" t="s">
        <v>10446</v>
      </c>
      <c r="E674" t="s">
        <v>10462</v>
      </c>
      <c r="F674" t="s">
        <v>10448</v>
      </c>
      <c r="G674" t="s">
        <v>10463</v>
      </c>
      <c r="H674">
        <v>-1.75</v>
      </c>
      <c r="L674" t="s">
        <v>7330</v>
      </c>
      <c r="M674" t="s">
        <v>7330</v>
      </c>
      <c r="N674" s="501">
        <v>2680</v>
      </c>
      <c r="P674">
        <v>0</v>
      </c>
      <c r="Q674" s="501">
        <v>2680</v>
      </c>
      <c r="R674" t="s">
        <v>7331</v>
      </c>
      <c r="S674">
        <v>0</v>
      </c>
    </row>
    <row r="675" spans="1:19">
      <c r="A675" t="s">
        <v>9201</v>
      </c>
      <c r="B675">
        <v>103</v>
      </c>
      <c r="C675" t="s">
        <v>7328</v>
      </c>
      <c r="D675" t="s">
        <v>10446</v>
      </c>
      <c r="E675" t="s">
        <v>10464</v>
      </c>
      <c r="F675" t="s">
        <v>10448</v>
      </c>
      <c r="G675" t="s">
        <v>10465</v>
      </c>
      <c r="H675">
        <v>-2</v>
      </c>
      <c r="L675" t="s">
        <v>7330</v>
      </c>
      <c r="M675" t="s">
        <v>7330</v>
      </c>
      <c r="N675" s="501">
        <v>2775</v>
      </c>
      <c r="O675" s="501"/>
      <c r="P675">
        <v>0</v>
      </c>
      <c r="Q675" s="501">
        <v>2775</v>
      </c>
      <c r="R675" t="s">
        <v>7331</v>
      </c>
      <c r="S675">
        <v>0</v>
      </c>
    </row>
    <row r="676" spans="1:19">
      <c r="A676" t="s">
        <v>9201</v>
      </c>
      <c r="B676">
        <v>103</v>
      </c>
      <c r="C676" t="s">
        <v>7328</v>
      </c>
      <c r="D676" t="s">
        <v>10446</v>
      </c>
      <c r="E676" t="s">
        <v>10466</v>
      </c>
      <c r="F676" t="s">
        <v>10448</v>
      </c>
      <c r="G676" t="s">
        <v>10467</v>
      </c>
      <c r="H676">
        <v>-2.25</v>
      </c>
      <c r="L676" t="s">
        <v>7330</v>
      </c>
      <c r="M676" t="s">
        <v>7330</v>
      </c>
      <c r="N676" s="501">
        <v>2521</v>
      </c>
      <c r="O676" s="501"/>
      <c r="P676">
        <v>0</v>
      </c>
      <c r="Q676" s="501">
        <v>2521</v>
      </c>
      <c r="R676" t="s">
        <v>7331</v>
      </c>
      <c r="S676">
        <v>0</v>
      </c>
    </row>
    <row r="677" spans="1:19">
      <c r="A677" t="s">
        <v>9201</v>
      </c>
      <c r="B677">
        <v>103</v>
      </c>
      <c r="C677" t="s">
        <v>7328</v>
      </c>
      <c r="D677" t="s">
        <v>10446</v>
      </c>
      <c r="E677" t="s">
        <v>10468</v>
      </c>
      <c r="F677" t="s">
        <v>10448</v>
      </c>
      <c r="G677" t="s">
        <v>10469</v>
      </c>
      <c r="H677">
        <v>-2.5</v>
      </c>
      <c r="L677" t="s">
        <v>7330</v>
      </c>
      <c r="M677" t="s">
        <v>7330</v>
      </c>
      <c r="N677" s="501">
        <v>3555</v>
      </c>
      <c r="O677" s="501"/>
      <c r="P677">
        <v>0</v>
      </c>
      <c r="Q677" s="501">
        <v>3555</v>
      </c>
      <c r="R677" t="s">
        <v>7331</v>
      </c>
      <c r="S677">
        <v>0</v>
      </c>
    </row>
    <row r="678" spans="1:19">
      <c r="A678" t="s">
        <v>9201</v>
      </c>
      <c r="B678">
        <v>103</v>
      </c>
      <c r="C678" t="s">
        <v>7328</v>
      </c>
      <c r="D678" t="s">
        <v>10446</v>
      </c>
      <c r="E678" t="s">
        <v>10470</v>
      </c>
      <c r="F678" t="s">
        <v>10448</v>
      </c>
      <c r="G678" t="s">
        <v>10471</v>
      </c>
      <c r="H678">
        <v>-2.75</v>
      </c>
      <c r="L678" t="s">
        <v>7330</v>
      </c>
      <c r="M678" t="s">
        <v>7330</v>
      </c>
      <c r="N678" s="501">
        <v>2249</v>
      </c>
      <c r="O678" s="501"/>
      <c r="P678">
        <v>0</v>
      </c>
      <c r="Q678" s="501">
        <v>2249</v>
      </c>
      <c r="R678" t="s">
        <v>7331</v>
      </c>
      <c r="S678">
        <v>0</v>
      </c>
    </row>
    <row r="679" spans="1:19">
      <c r="A679" t="s">
        <v>9201</v>
      </c>
      <c r="B679">
        <v>103</v>
      </c>
      <c r="C679" t="s">
        <v>7328</v>
      </c>
      <c r="D679" t="s">
        <v>10446</v>
      </c>
      <c r="E679" t="s">
        <v>10472</v>
      </c>
      <c r="F679" t="s">
        <v>10448</v>
      </c>
      <c r="G679" t="s">
        <v>10473</v>
      </c>
      <c r="H679">
        <v>-3</v>
      </c>
      <c r="L679" t="s">
        <v>7330</v>
      </c>
      <c r="M679" t="s">
        <v>7330</v>
      </c>
      <c r="N679" s="501">
        <v>2186</v>
      </c>
      <c r="O679" s="501"/>
      <c r="P679">
        <v>0</v>
      </c>
      <c r="Q679" s="501">
        <v>2186</v>
      </c>
      <c r="R679" t="s">
        <v>7331</v>
      </c>
      <c r="S679">
        <v>0</v>
      </c>
    </row>
    <row r="680" spans="1:19">
      <c r="A680" t="s">
        <v>9201</v>
      </c>
      <c r="B680">
        <v>103</v>
      </c>
      <c r="C680" t="s">
        <v>7328</v>
      </c>
      <c r="D680" t="s">
        <v>10446</v>
      </c>
      <c r="E680" t="s">
        <v>10474</v>
      </c>
      <c r="F680" t="s">
        <v>10448</v>
      </c>
      <c r="G680" t="s">
        <v>10475</v>
      </c>
      <c r="H680">
        <v>-3.25</v>
      </c>
      <c r="L680" t="s">
        <v>7330</v>
      </c>
      <c r="M680" t="s">
        <v>7330</v>
      </c>
      <c r="N680" s="501">
        <v>2729</v>
      </c>
      <c r="O680" s="501"/>
      <c r="P680">
        <v>0</v>
      </c>
      <c r="Q680" s="501">
        <v>2729</v>
      </c>
      <c r="R680" t="s">
        <v>7331</v>
      </c>
      <c r="S680">
        <v>0</v>
      </c>
    </row>
    <row r="681" spans="1:19">
      <c r="A681" t="s">
        <v>9201</v>
      </c>
      <c r="B681">
        <v>103</v>
      </c>
      <c r="C681" t="s">
        <v>7328</v>
      </c>
      <c r="D681" t="s">
        <v>10446</v>
      </c>
      <c r="E681" t="s">
        <v>10476</v>
      </c>
      <c r="F681" t="s">
        <v>10448</v>
      </c>
      <c r="G681" t="s">
        <v>10477</v>
      </c>
      <c r="H681">
        <v>-3.5</v>
      </c>
      <c r="L681" t="s">
        <v>7330</v>
      </c>
      <c r="M681" t="s">
        <v>7330</v>
      </c>
      <c r="N681" s="501">
        <v>2034</v>
      </c>
      <c r="O681" s="501"/>
      <c r="P681">
        <v>0</v>
      </c>
      <c r="Q681" s="501">
        <v>2034</v>
      </c>
      <c r="R681" t="s">
        <v>7331</v>
      </c>
      <c r="S681">
        <v>0</v>
      </c>
    </row>
    <row r="682" spans="1:19">
      <c r="A682" t="s">
        <v>9201</v>
      </c>
      <c r="B682">
        <v>103</v>
      </c>
      <c r="C682" t="s">
        <v>7328</v>
      </c>
      <c r="D682" t="s">
        <v>10446</v>
      </c>
      <c r="E682" t="s">
        <v>10478</v>
      </c>
      <c r="F682" t="s">
        <v>10448</v>
      </c>
      <c r="G682" t="s">
        <v>10479</v>
      </c>
      <c r="H682">
        <v>-3.75</v>
      </c>
      <c r="L682" t="s">
        <v>7330</v>
      </c>
      <c r="M682" t="s">
        <v>7330</v>
      </c>
      <c r="N682" s="501">
        <v>2232</v>
      </c>
      <c r="O682" s="501"/>
      <c r="P682">
        <v>0</v>
      </c>
      <c r="Q682" s="501">
        <v>2232</v>
      </c>
      <c r="R682" t="s">
        <v>7331</v>
      </c>
      <c r="S682">
        <v>0</v>
      </c>
    </row>
    <row r="683" spans="1:19">
      <c r="A683" t="s">
        <v>9201</v>
      </c>
      <c r="B683">
        <v>103</v>
      </c>
      <c r="C683" t="s">
        <v>7328</v>
      </c>
      <c r="D683" t="s">
        <v>10446</v>
      </c>
      <c r="E683" t="s">
        <v>10480</v>
      </c>
      <c r="F683" t="s">
        <v>10448</v>
      </c>
      <c r="G683" t="s">
        <v>10481</v>
      </c>
      <c r="H683">
        <v>-4</v>
      </c>
      <c r="L683" t="s">
        <v>7330</v>
      </c>
      <c r="M683" t="s">
        <v>7330</v>
      </c>
      <c r="N683" s="501">
        <v>2255</v>
      </c>
      <c r="O683" s="501"/>
      <c r="P683">
        <v>0</v>
      </c>
      <c r="Q683" s="501">
        <v>2255</v>
      </c>
      <c r="R683" t="s">
        <v>7331</v>
      </c>
      <c r="S683">
        <v>0</v>
      </c>
    </row>
    <row r="684" spans="1:19">
      <c r="A684" t="s">
        <v>9201</v>
      </c>
      <c r="B684">
        <v>103</v>
      </c>
      <c r="C684" t="s">
        <v>7328</v>
      </c>
      <c r="D684" t="s">
        <v>10446</v>
      </c>
      <c r="E684" t="s">
        <v>10482</v>
      </c>
      <c r="F684" t="s">
        <v>10448</v>
      </c>
      <c r="G684" t="s">
        <v>10483</v>
      </c>
      <c r="H684">
        <v>-4.25</v>
      </c>
      <c r="L684" t="s">
        <v>7330</v>
      </c>
      <c r="M684" t="s">
        <v>7330</v>
      </c>
      <c r="N684" s="501">
        <v>2981</v>
      </c>
      <c r="O684" s="501"/>
      <c r="P684">
        <v>0</v>
      </c>
      <c r="Q684" s="501">
        <v>2981</v>
      </c>
      <c r="R684" t="s">
        <v>7331</v>
      </c>
      <c r="S684">
        <v>0</v>
      </c>
    </row>
    <row r="685" spans="1:19">
      <c r="A685" t="s">
        <v>9201</v>
      </c>
      <c r="B685">
        <v>103</v>
      </c>
      <c r="C685" t="s">
        <v>7328</v>
      </c>
      <c r="D685" t="s">
        <v>10446</v>
      </c>
      <c r="E685" t="s">
        <v>10484</v>
      </c>
      <c r="F685" t="s">
        <v>10448</v>
      </c>
      <c r="G685" t="s">
        <v>10485</v>
      </c>
      <c r="H685">
        <v>-4.5</v>
      </c>
      <c r="L685" t="s">
        <v>7330</v>
      </c>
      <c r="M685" t="s">
        <v>7330</v>
      </c>
      <c r="N685" s="501">
        <v>2592</v>
      </c>
      <c r="O685" s="501"/>
      <c r="P685">
        <v>0</v>
      </c>
      <c r="Q685" s="501">
        <v>2592</v>
      </c>
      <c r="R685" t="s">
        <v>7331</v>
      </c>
      <c r="S685">
        <v>0</v>
      </c>
    </row>
    <row r="686" spans="1:19">
      <c r="A686" t="s">
        <v>9201</v>
      </c>
      <c r="B686">
        <v>103</v>
      </c>
      <c r="C686" t="s">
        <v>7328</v>
      </c>
      <c r="D686" t="s">
        <v>10446</v>
      </c>
      <c r="E686" t="s">
        <v>10486</v>
      </c>
      <c r="F686" t="s">
        <v>10448</v>
      </c>
      <c r="G686" t="s">
        <v>10487</v>
      </c>
      <c r="H686">
        <v>-4.75</v>
      </c>
      <c r="L686" t="s">
        <v>7330</v>
      </c>
      <c r="M686" t="s">
        <v>7330</v>
      </c>
      <c r="N686" s="501">
        <v>3775</v>
      </c>
      <c r="O686" s="501"/>
      <c r="P686">
        <v>0</v>
      </c>
      <c r="Q686" s="501">
        <v>3775</v>
      </c>
      <c r="R686" t="s">
        <v>7331</v>
      </c>
      <c r="S686">
        <v>0</v>
      </c>
    </row>
    <row r="687" spans="1:19">
      <c r="A687" t="s">
        <v>9201</v>
      </c>
      <c r="B687">
        <v>103</v>
      </c>
      <c r="C687" t="s">
        <v>7328</v>
      </c>
      <c r="D687" t="s">
        <v>10446</v>
      </c>
      <c r="E687" t="s">
        <v>10488</v>
      </c>
      <c r="F687" t="s">
        <v>10448</v>
      </c>
      <c r="G687" t="s">
        <v>10489</v>
      </c>
      <c r="H687">
        <v>-5</v>
      </c>
      <c r="L687" t="s">
        <v>7330</v>
      </c>
      <c r="M687" t="s">
        <v>7330</v>
      </c>
      <c r="N687" s="501">
        <v>2503</v>
      </c>
      <c r="P687">
        <v>0</v>
      </c>
      <c r="Q687" s="501">
        <v>2503</v>
      </c>
      <c r="R687" t="s">
        <v>7331</v>
      </c>
      <c r="S687">
        <v>0</v>
      </c>
    </row>
    <row r="688" spans="1:19">
      <c r="A688" t="s">
        <v>9201</v>
      </c>
      <c r="B688">
        <v>103</v>
      </c>
      <c r="C688" t="s">
        <v>7328</v>
      </c>
      <c r="D688" t="s">
        <v>10446</v>
      </c>
      <c r="E688" t="s">
        <v>10490</v>
      </c>
      <c r="F688" t="s">
        <v>10448</v>
      </c>
      <c r="G688" t="s">
        <v>10491</v>
      </c>
      <c r="H688">
        <v>-5.5</v>
      </c>
      <c r="L688" t="s">
        <v>7330</v>
      </c>
      <c r="M688" t="s">
        <v>7330</v>
      </c>
      <c r="N688" s="501">
        <v>2497</v>
      </c>
      <c r="P688">
        <v>0</v>
      </c>
      <c r="Q688" s="501">
        <v>2497</v>
      </c>
      <c r="R688" t="s">
        <v>7331</v>
      </c>
      <c r="S688">
        <v>0</v>
      </c>
    </row>
    <row r="689" spans="1:19">
      <c r="A689" t="s">
        <v>9201</v>
      </c>
      <c r="B689">
        <v>103</v>
      </c>
      <c r="C689" t="s">
        <v>7328</v>
      </c>
      <c r="D689" t="s">
        <v>10446</v>
      </c>
      <c r="E689" t="s">
        <v>10492</v>
      </c>
      <c r="F689" t="s">
        <v>10448</v>
      </c>
      <c r="G689" t="s">
        <v>10493</v>
      </c>
      <c r="H689">
        <v>-6</v>
      </c>
      <c r="L689" t="s">
        <v>7330</v>
      </c>
      <c r="M689" t="s">
        <v>7330</v>
      </c>
      <c r="N689" s="501">
        <v>3056</v>
      </c>
      <c r="P689">
        <v>0</v>
      </c>
      <c r="Q689" s="501">
        <v>3056</v>
      </c>
      <c r="R689" t="s">
        <v>7331</v>
      </c>
      <c r="S689">
        <v>0</v>
      </c>
    </row>
    <row r="690" spans="1:19">
      <c r="A690" t="s">
        <v>9201</v>
      </c>
      <c r="B690">
        <v>103</v>
      </c>
      <c r="C690" t="s">
        <v>7328</v>
      </c>
      <c r="D690" t="s">
        <v>10446</v>
      </c>
      <c r="E690" t="s">
        <v>10494</v>
      </c>
      <c r="F690" t="s">
        <v>10448</v>
      </c>
      <c r="G690" t="s">
        <v>10495</v>
      </c>
      <c r="H690">
        <v>-6.5</v>
      </c>
      <c r="L690" t="s">
        <v>7330</v>
      </c>
      <c r="M690" t="s">
        <v>7330</v>
      </c>
      <c r="N690" s="501">
        <v>3191</v>
      </c>
      <c r="P690">
        <v>0</v>
      </c>
      <c r="Q690" s="501">
        <v>3191</v>
      </c>
      <c r="R690" t="s">
        <v>7331</v>
      </c>
      <c r="S690">
        <v>0</v>
      </c>
    </row>
    <row r="691" spans="1:19">
      <c r="A691" t="s">
        <v>9201</v>
      </c>
      <c r="B691">
        <v>103</v>
      </c>
      <c r="C691" t="s">
        <v>7328</v>
      </c>
      <c r="D691" t="s">
        <v>10446</v>
      </c>
      <c r="E691" t="s">
        <v>10496</v>
      </c>
      <c r="F691" t="s">
        <v>10448</v>
      </c>
      <c r="G691" t="s">
        <v>10497</v>
      </c>
      <c r="H691">
        <v>-7</v>
      </c>
      <c r="L691" t="s">
        <v>7330</v>
      </c>
      <c r="M691" t="s">
        <v>7330</v>
      </c>
      <c r="N691" s="501">
        <v>2924</v>
      </c>
      <c r="P691">
        <v>0</v>
      </c>
      <c r="Q691" s="501">
        <v>2924</v>
      </c>
      <c r="R691" t="s">
        <v>7331</v>
      </c>
      <c r="S691">
        <v>0</v>
      </c>
    </row>
    <row r="692" spans="1:19">
      <c r="A692" t="s">
        <v>9201</v>
      </c>
      <c r="B692">
        <v>103</v>
      </c>
      <c r="C692" t="s">
        <v>7328</v>
      </c>
      <c r="D692" t="s">
        <v>10446</v>
      </c>
      <c r="E692" t="s">
        <v>10498</v>
      </c>
      <c r="F692" t="s">
        <v>10448</v>
      </c>
      <c r="G692" t="s">
        <v>10499</v>
      </c>
      <c r="H692">
        <v>-7.5</v>
      </c>
      <c r="L692" t="s">
        <v>7330</v>
      </c>
      <c r="M692" t="s">
        <v>7330</v>
      </c>
      <c r="N692" s="501">
        <v>4201</v>
      </c>
      <c r="O692" s="501"/>
      <c r="P692">
        <v>0</v>
      </c>
      <c r="Q692" s="501">
        <v>4201</v>
      </c>
      <c r="R692" t="s">
        <v>7331</v>
      </c>
      <c r="S692">
        <v>0</v>
      </c>
    </row>
    <row r="693" spans="1:19">
      <c r="A693" t="s">
        <v>9201</v>
      </c>
      <c r="B693">
        <v>103</v>
      </c>
      <c r="C693" t="s">
        <v>7328</v>
      </c>
      <c r="D693" t="s">
        <v>10446</v>
      </c>
      <c r="E693" t="s">
        <v>10500</v>
      </c>
      <c r="F693" t="s">
        <v>10448</v>
      </c>
      <c r="G693" t="s">
        <v>10501</v>
      </c>
      <c r="H693">
        <v>-8</v>
      </c>
      <c r="L693" t="s">
        <v>7330</v>
      </c>
      <c r="M693" t="s">
        <v>7330</v>
      </c>
      <c r="N693" s="501">
        <v>3382</v>
      </c>
      <c r="O693" s="501"/>
      <c r="P693">
        <v>0</v>
      </c>
      <c r="Q693" s="501">
        <v>3382</v>
      </c>
      <c r="R693" t="s">
        <v>7331</v>
      </c>
      <c r="S693">
        <v>0</v>
      </c>
    </row>
    <row r="694" spans="1:19">
      <c r="A694" t="s">
        <v>9201</v>
      </c>
      <c r="B694">
        <v>103</v>
      </c>
      <c r="C694" t="s">
        <v>7328</v>
      </c>
      <c r="D694" t="s">
        <v>10446</v>
      </c>
      <c r="E694" t="s">
        <v>10502</v>
      </c>
      <c r="F694" t="s">
        <v>10448</v>
      </c>
      <c r="G694" t="s">
        <v>10503</v>
      </c>
      <c r="H694">
        <v>-8.5</v>
      </c>
      <c r="L694" t="s">
        <v>7330</v>
      </c>
      <c r="M694" t="s">
        <v>7330</v>
      </c>
      <c r="N694" s="501">
        <v>3754</v>
      </c>
      <c r="O694" s="501"/>
      <c r="P694">
        <v>0</v>
      </c>
      <c r="Q694" s="501">
        <v>3754</v>
      </c>
      <c r="R694" t="s">
        <v>7331</v>
      </c>
      <c r="S694">
        <v>0</v>
      </c>
    </row>
    <row r="695" spans="1:19">
      <c r="A695" t="s">
        <v>9201</v>
      </c>
      <c r="B695">
        <v>103</v>
      </c>
      <c r="C695" t="s">
        <v>7328</v>
      </c>
      <c r="D695" t="s">
        <v>10446</v>
      </c>
      <c r="E695" t="s">
        <v>10504</v>
      </c>
      <c r="F695" t="s">
        <v>10448</v>
      </c>
      <c r="G695" t="s">
        <v>10505</v>
      </c>
      <c r="H695">
        <v>-9</v>
      </c>
      <c r="L695" t="s">
        <v>7330</v>
      </c>
      <c r="M695" t="s">
        <v>7330</v>
      </c>
      <c r="N695" s="501">
        <v>3920</v>
      </c>
      <c r="O695" s="501"/>
      <c r="P695">
        <v>0</v>
      </c>
      <c r="Q695" s="501">
        <v>3920</v>
      </c>
      <c r="R695" t="s">
        <v>7331</v>
      </c>
      <c r="S695">
        <v>0</v>
      </c>
    </row>
    <row r="696" spans="1:19">
      <c r="A696" t="s">
        <v>9201</v>
      </c>
      <c r="B696">
        <v>103</v>
      </c>
      <c r="C696" t="s">
        <v>7328</v>
      </c>
      <c r="D696" t="s">
        <v>10446</v>
      </c>
      <c r="E696" t="s">
        <v>10506</v>
      </c>
      <c r="F696" t="s">
        <v>10448</v>
      </c>
      <c r="G696" t="s">
        <v>10507</v>
      </c>
      <c r="H696">
        <v>-9.5</v>
      </c>
      <c r="L696" t="s">
        <v>7330</v>
      </c>
      <c r="M696" t="s">
        <v>7330</v>
      </c>
      <c r="N696" s="501">
        <v>14</v>
      </c>
      <c r="O696" s="501"/>
      <c r="P696">
        <v>0</v>
      </c>
      <c r="Q696" s="501">
        <v>14</v>
      </c>
      <c r="R696" t="s">
        <v>7331</v>
      </c>
      <c r="S696">
        <v>0</v>
      </c>
    </row>
    <row r="697" spans="1:19">
      <c r="A697" t="s">
        <v>9201</v>
      </c>
      <c r="B697">
        <v>103</v>
      </c>
      <c r="C697" t="s">
        <v>7328</v>
      </c>
      <c r="D697" t="s">
        <v>10446</v>
      </c>
      <c r="E697" t="s">
        <v>10508</v>
      </c>
      <c r="F697" t="s">
        <v>10448</v>
      </c>
      <c r="G697" t="s">
        <v>10509</v>
      </c>
      <c r="H697">
        <v>-10</v>
      </c>
      <c r="L697" t="s">
        <v>7330</v>
      </c>
      <c r="M697" t="s">
        <v>7330</v>
      </c>
      <c r="N697" s="501">
        <v>14</v>
      </c>
      <c r="O697" s="501"/>
      <c r="P697">
        <v>0</v>
      </c>
      <c r="Q697" s="501">
        <v>14</v>
      </c>
      <c r="R697" t="s">
        <v>7331</v>
      </c>
      <c r="S697">
        <v>0</v>
      </c>
    </row>
    <row r="698" spans="1:19">
      <c r="A698" t="s">
        <v>9201</v>
      </c>
      <c r="B698">
        <v>103</v>
      </c>
      <c r="C698" t="s">
        <v>7328</v>
      </c>
      <c r="D698" t="s">
        <v>10510</v>
      </c>
      <c r="E698" t="s">
        <v>10511</v>
      </c>
      <c r="F698" t="s">
        <v>10512</v>
      </c>
      <c r="G698" t="s">
        <v>10513</v>
      </c>
      <c r="H698">
        <v>0</v>
      </c>
      <c r="L698" t="s">
        <v>7330</v>
      </c>
      <c r="M698" t="s">
        <v>7330</v>
      </c>
      <c r="N698" s="501">
        <v>16059</v>
      </c>
      <c r="P698">
        <v>80</v>
      </c>
      <c r="Q698" s="501">
        <v>15979</v>
      </c>
      <c r="R698" t="s">
        <v>7331</v>
      </c>
      <c r="S698">
        <v>0</v>
      </c>
    </row>
    <row r="699" spans="1:19">
      <c r="A699" t="s">
        <v>9201</v>
      </c>
      <c r="B699">
        <v>103</v>
      </c>
      <c r="C699" t="s">
        <v>7328</v>
      </c>
      <c r="D699" t="s">
        <v>10510</v>
      </c>
      <c r="E699" t="s">
        <v>10511</v>
      </c>
      <c r="F699" t="s">
        <v>10512</v>
      </c>
      <c r="G699" t="s">
        <v>10513</v>
      </c>
      <c r="H699">
        <v>0</v>
      </c>
      <c r="K699" t="s">
        <v>9337</v>
      </c>
      <c r="L699" t="s">
        <v>10514</v>
      </c>
      <c r="M699" t="s">
        <v>10515</v>
      </c>
      <c r="N699" s="501"/>
      <c r="O699">
        <v>10</v>
      </c>
      <c r="P699">
        <v>10</v>
      </c>
      <c r="Q699" s="501"/>
      <c r="R699" t="s">
        <v>7331</v>
      </c>
      <c r="S699">
        <v>0</v>
      </c>
    </row>
    <row r="700" spans="1:19">
      <c r="A700" t="s">
        <v>9201</v>
      </c>
      <c r="B700">
        <v>103</v>
      </c>
      <c r="C700" t="s">
        <v>7328</v>
      </c>
      <c r="D700" t="s">
        <v>10510</v>
      </c>
      <c r="E700" t="s">
        <v>10516</v>
      </c>
      <c r="F700" t="s">
        <v>10512</v>
      </c>
      <c r="G700" t="s">
        <v>10517</v>
      </c>
      <c r="H700">
        <v>-0.5</v>
      </c>
      <c r="L700" t="s">
        <v>7330</v>
      </c>
      <c r="M700" t="s">
        <v>7330</v>
      </c>
      <c r="N700" s="501">
        <v>3911</v>
      </c>
      <c r="P700">
        <v>0</v>
      </c>
      <c r="Q700" s="501">
        <v>3911</v>
      </c>
      <c r="R700" t="s">
        <v>7331</v>
      </c>
      <c r="S700">
        <v>0</v>
      </c>
    </row>
    <row r="701" spans="1:19">
      <c r="A701" t="s">
        <v>9201</v>
      </c>
      <c r="B701">
        <v>103</v>
      </c>
      <c r="C701" t="s">
        <v>7328</v>
      </c>
      <c r="D701" t="s">
        <v>10510</v>
      </c>
      <c r="E701" t="s">
        <v>10518</v>
      </c>
      <c r="F701" t="s">
        <v>10512</v>
      </c>
      <c r="G701" t="s">
        <v>10519</v>
      </c>
      <c r="H701">
        <v>-0.75</v>
      </c>
      <c r="L701" t="s">
        <v>7330</v>
      </c>
      <c r="M701" t="s">
        <v>7330</v>
      </c>
      <c r="N701" s="501">
        <v>4954</v>
      </c>
      <c r="P701">
        <v>0</v>
      </c>
      <c r="Q701" s="501">
        <v>4954</v>
      </c>
      <c r="R701" t="s">
        <v>7331</v>
      </c>
      <c r="S701">
        <v>0</v>
      </c>
    </row>
    <row r="702" spans="1:19">
      <c r="A702" t="s">
        <v>9201</v>
      </c>
      <c r="B702">
        <v>103</v>
      </c>
      <c r="C702" t="s">
        <v>7328</v>
      </c>
      <c r="D702" t="s">
        <v>10510</v>
      </c>
      <c r="E702" t="s">
        <v>10520</v>
      </c>
      <c r="F702" t="s">
        <v>10512</v>
      </c>
      <c r="G702" t="s">
        <v>10521</v>
      </c>
      <c r="H702">
        <v>-1</v>
      </c>
      <c r="L702" t="s">
        <v>7330</v>
      </c>
      <c r="M702" t="s">
        <v>7330</v>
      </c>
      <c r="N702" s="501">
        <v>5830</v>
      </c>
      <c r="O702" s="501"/>
      <c r="P702">
        <v>0</v>
      </c>
      <c r="Q702" s="501">
        <v>5830</v>
      </c>
      <c r="R702" t="s">
        <v>7331</v>
      </c>
      <c r="S702">
        <v>0</v>
      </c>
    </row>
    <row r="703" spans="1:19">
      <c r="A703" t="s">
        <v>9201</v>
      </c>
      <c r="B703">
        <v>103</v>
      </c>
      <c r="C703" t="s">
        <v>7328</v>
      </c>
      <c r="D703" t="s">
        <v>10510</v>
      </c>
      <c r="E703" t="s">
        <v>10522</v>
      </c>
      <c r="F703" t="s">
        <v>10512</v>
      </c>
      <c r="G703" t="s">
        <v>10523</v>
      </c>
      <c r="H703">
        <v>-1.25</v>
      </c>
      <c r="L703" t="s">
        <v>7330</v>
      </c>
      <c r="M703" t="s">
        <v>7330</v>
      </c>
      <c r="N703" s="501">
        <v>4258</v>
      </c>
      <c r="O703" s="501"/>
      <c r="P703">
        <v>0</v>
      </c>
      <c r="Q703" s="501">
        <v>4258</v>
      </c>
      <c r="R703" t="s">
        <v>7331</v>
      </c>
      <c r="S703">
        <v>0</v>
      </c>
    </row>
    <row r="704" spans="1:19">
      <c r="A704" t="s">
        <v>9201</v>
      </c>
      <c r="B704">
        <v>103</v>
      </c>
      <c r="C704" t="s">
        <v>7328</v>
      </c>
      <c r="D704" t="s">
        <v>10510</v>
      </c>
      <c r="E704" t="s">
        <v>10524</v>
      </c>
      <c r="F704" t="s">
        <v>10512</v>
      </c>
      <c r="G704" t="s">
        <v>10525</v>
      </c>
      <c r="H704">
        <v>-1.5</v>
      </c>
      <c r="L704" t="s">
        <v>7330</v>
      </c>
      <c r="M704" t="s">
        <v>7330</v>
      </c>
      <c r="N704" s="501">
        <v>4577</v>
      </c>
      <c r="O704" s="501"/>
      <c r="P704">
        <v>0</v>
      </c>
      <c r="Q704" s="501">
        <v>4577</v>
      </c>
      <c r="R704" t="s">
        <v>7331</v>
      </c>
      <c r="S704">
        <v>0</v>
      </c>
    </row>
    <row r="705" spans="1:19">
      <c r="A705" t="s">
        <v>9201</v>
      </c>
      <c r="B705">
        <v>103</v>
      </c>
      <c r="C705" t="s">
        <v>7328</v>
      </c>
      <c r="D705" t="s">
        <v>10510</v>
      </c>
      <c r="E705" t="s">
        <v>10526</v>
      </c>
      <c r="F705" t="s">
        <v>10512</v>
      </c>
      <c r="G705" t="s">
        <v>10527</v>
      </c>
      <c r="H705">
        <v>-1.75</v>
      </c>
      <c r="L705" t="s">
        <v>7330</v>
      </c>
      <c r="M705" t="s">
        <v>7330</v>
      </c>
      <c r="N705" s="501">
        <v>6039</v>
      </c>
      <c r="O705" s="501"/>
      <c r="P705">
        <v>0</v>
      </c>
      <c r="Q705" s="501">
        <v>6039</v>
      </c>
      <c r="R705" t="s">
        <v>7331</v>
      </c>
      <c r="S705">
        <v>0</v>
      </c>
    </row>
    <row r="706" spans="1:19">
      <c r="A706" t="s">
        <v>9201</v>
      </c>
      <c r="B706">
        <v>103</v>
      </c>
      <c r="C706" t="s">
        <v>7328</v>
      </c>
      <c r="D706" t="s">
        <v>10510</v>
      </c>
      <c r="E706" t="s">
        <v>10528</v>
      </c>
      <c r="F706" t="s">
        <v>10512</v>
      </c>
      <c r="G706" t="s">
        <v>10529</v>
      </c>
      <c r="H706">
        <v>-2</v>
      </c>
      <c r="L706" t="s">
        <v>7330</v>
      </c>
      <c r="M706" t="s">
        <v>7330</v>
      </c>
      <c r="N706" s="501">
        <v>3853</v>
      </c>
      <c r="P706">
        <v>0</v>
      </c>
      <c r="Q706" s="501">
        <v>3853</v>
      </c>
      <c r="R706" t="s">
        <v>7331</v>
      </c>
      <c r="S706">
        <v>0</v>
      </c>
    </row>
    <row r="707" spans="1:19">
      <c r="A707" t="s">
        <v>9201</v>
      </c>
      <c r="B707">
        <v>103</v>
      </c>
      <c r="C707" t="s">
        <v>7328</v>
      </c>
      <c r="D707" t="s">
        <v>10510</v>
      </c>
      <c r="E707" t="s">
        <v>10530</v>
      </c>
      <c r="F707" t="s">
        <v>10512</v>
      </c>
      <c r="G707" t="s">
        <v>10531</v>
      </c>
      <c r="H707">
        <v>-2.25</v>
      </c>
      <c r="L707" t="s">
        <v>7330</v>
      </c>
      <c r="M707" t="s">
        <v>7330</v>
      </c>
      <c r="N707" s="501">
        <v>4332</v>
      </c>
      <c r="O707" s="501"/>
      <c r="P707">
        <v>0</v>
      </c>
      <c r="Q707" s="501">
        <v>4332</v>
      </c>
      <c r="R707" t="s">
        <v>7331</v>
      </c>
      <c r="S707">
        <v>0</v>
      </c>
    </row>
    <row r="708" spans="1:19">
      <c r="A708" t="s">
        <v>9201</v>
      </c>
      <c r="B708">
        <v>103</v>
      </c>
      <c r="C708" t="s">
        <v>7328</v>
      </c>
      <c r="D708" t="s">
        <v>10510</v>
      </c>
      <c r="E708" t="s">
        <v>10532</v>
      </c>
      <c r="F708" t="s">
        <v>10512</v>
      </c>
      <c r="G708" t="s">
        <v>10533</v>
      </c>
      <c r="H708">
        <v>-2.5</v>
      </c>
      <c r="L708" t="s">
        <v>7330</v>
      </c>
      <c r="M708" t="s">
        <v>7330</v>
      </c>
      <c r="N708" s="501">
        <v>5284</v>
      </c>
      <c r="O708" s="501"/>
      <c r="P708">
        <v>0</v>
      </c>
      <c r="Q708" s="501">
        <v>5284</v>
      </c>
      <c r="R708" t="s">
        <v>7331</v>
      </c>
      <c r="S708">
        <v>0</v>
      </c>
    </row>
    <row r="709" spans="1:19">
      <c r="A709" t="s">
        <v>9201</v>
      </c>
      <c r="B709">
        <v>103</v>
      </c>
      <c r="C709" t="s">
        <v>7328</v>
      </c>
      <c r="D709" t="s">
        <v>10510</v>
      </c>
      <c r="E709" t="s">
        <v>10534</v>
      </c>
      <c r="F709" t="s">
        <v>10512</v>
      </c>
      <c r="G709" t="s">
        <v>10535</v>
      </c>
      <c r="H709">
        <v>-2.75</v>
      </c>
      <c r="L709" t="s">
        <v>7330</v>
      </c>
      <c r="M709" t="s">
        <v>7330</v>
      </c>
      <c r="N709" s="501">
        <v>3557</v>
      </c>
      <c r="O709" s="501"/>
      <c r="P709">
        <v>0</v>
      </c>
      <c r="Q709" s="501">
        <v>3557</v>
      </c>
      <c r="R709" t="s">
        <v>7331</v>
      </c>
      <c r="S709">
        <v>0</v>
      </c>
    </row>
    <row r="710" spans="1:19">
      <c r="A710" t="s">
        <v>9201</v>
      </c>
      <c r="B710">
        <v>103</v>
      </c>
      <c r="C710" t="s">
        <v>7328</v>
      </c>
      <c r="D710" t="s">
        <v>10510</v>
      </c>
      <c r="E710" t="s">
        <v>10536</v>
      </c>
      <c r="F710" t="s">
        <v>10512</v>
      </c>
      <c r="G710" t="s">
        <v>10537</v>
      </c>
      <c r="H710">
        <v>-3</v>
      </c>
      <c r="L710" t="s">
        <v>7330</v>
      </c>
      <c r="M710" t="s">
        <v>7330</v>
      </c>
      <c r="N710" s="501">
        <v>5534</v>
      </c>
      <c r="O710" s="501"/>
      <c r="P710">
        <v>0</v>
      </c>
      <c r="Q710" s="501">
        <v>5534</v>
      </c>
      <c r="R710" t="s">
        <v>7331</v>
      </c>
      <c r="S710">
        <v>0</v>
      </c>
    </row>
    <row r="711" spans="1:19">
      <c r="A711" t="s">
        <v>9201</v>
      </c>
      <c r="B711">
        <v>103</v>
      </c>
      <c r="C711" t="s">
        <v>7328</v>
      </c>
      <c r="D711" t="s">
        <v>10510</v>
      </c>
      <c r="E711" t="s">
        <v>10538</v>
      </c>
      <c r="F711" t="s">
        <v>10512</v>
      </c>
      <c r="G711" t="s">
        <v>10539</v>
      </c>
      <c r="H711">
        <v>-3.25</v>
      </c>
      <c r="L711" t="s">
        <v>7330</v>
      </c>
      <c r="M711" t="s">
        <v>7330</v>
      </c>
      <c r="N711" s="501">
        <v>3790</v>
      </c>
      <c r="O711" s="501"/>
      <c r="P711">
        <v>0</v>
      </c>
      <c r="Q711" s="501">
        <v>3790</v>
      </c>
      <c r="R711" t="s">
        <v>7331</v>
      </c>
      <c r="S711">
        <v>0</v>
      </c>
    </row>
    <row r="712" spans="1:19">
      <c r="A712" t="s">
        <v>9201</v>
      </c>
      <c r="B712">
        <v>103</v>
      </c>
      <c r="C712" t="s">
        <v>7328</v>
      </c>
      <c r="D712" t="s">
        <v>10510</v>
      </c>
      <c r="E712" t="s">
        <v>10540</v>
      </c>
      <c r="F712" t="s">
        <v>10512</v>
      </c>
      <c r="G712" t="s">
        <v>10541</v>
      </c>
      <c r="H712">
        <v>-3.5</v>
      </c>
      <c r="L712" t="s">
        <v>7330</v>
      </c>
      <c r="M712" t="s">
        <v>7330</v>
      </c>
      <c r="N712" s="501">
        <v>3559</v>
      </c>
      <c r="O712" s="501"/>
      <c r="P712">
        <v>0</v>
      </c>
      <c r="Q712" s="501">
        <v>3559</v>
      </c>
      <c r="R712" t="s">
        <v>7331</v>
      </c>
      <c r="S712">
        <v>0</v>
      </c>
    </row>
    <row r="713" spans="1:19">
      <c r="A713" t="s">
        <v>9201</v>
      </c>
      <c r="B713">
        <v>103</v>
      </c>
      <c r="C713" t="s">
        <v>7328</v>
      </c>
      <c r="D713" t="s">
        <v>10510</v>
      </c>
      <c r="E713" t="s">
        <v>10542</v>
      </c>
      <c r="F713" t="s">
        <v>10512</v>
      </c>
      <c r="G713" t="s">
        <v>10543</v>
      </c>
      <c r="H713">
        <v>-3.75</v>
      </c>
      <c r="L713" t="s">
        <v>7330</v>
      </c>
      <c r="M713" t="s">
        <v>7330</v>
      </c>
      <c r="N713" s="501">
        <v>3760</v>
      </c>
      <c r="O713" s="501"/>
      <c r="P713">
        <v>0</v>
      </c>
      <c r="Q713" s="501">
        <v>3760</v>
      </c>
      <c r="R713" t="s">
        <v>7331</v>
      </c>
      <c r="S713">
        <v>0</v>
      </c>
    </row>
    <row r="714" spans="1:19">
      <c r="A714" t="s">
        <v>9201</v>
      </c>
      <c r="B714">
        <v>103</v>
      </c>
      <c r="C714" t="s">
        <v>7328</v>
      </c>
      <c r="D714" t="s">
        <v>10510</v>
      </c>
      <c r="E714" t="s">
        <v>10544</v>
      </c>
      <c r="F714" t="s">
        <v>10512</v>
      </c>
      <c r="G714" t="s">
        <v>10545</v>
      </c>
      <c r="H714">
        <v>-4</v>
      </c>
      <c r="L714" t="s">
        <v>7330</v>
      </c>
      <c r="M714" t="s">
        <v>7330</v>
      </c>
      <c r="N714" s="501">
        <v>3540</v>
      </c>
      <c r="O714" s="501"/>
      <c r="P714">
        <v>0</v>
      </c>
      <c r="Q714" s="501">
        <v>3540</v>
      </c>
      <c r="R714" t="s">
        <v>7331</v>
      </c>
      <c r="S714">
        <v>0</v>
      </c>
    </row>
    <row r="715" spans="1:19">
      <c r="A715" t="s">
        <v>9201</v>
      </c>
      <c r="B715">
        <v>103</v>
      </c>
      <c r="C715" t="s">
        <v>7328</v>
      </c>
      <c r="D715" t="s">
        <v>10510</v>
      </c>
      <c r="E715" t="s">
        <v>10546</v>
      </c>
      <c r="F715" t="s">
        <v>10512</v>
      </c>
      <c r="G715" t="s">
        <v>10547</v>
      </c>
      <c r="H715">
        <v>-4.25</v>
      </c>
      <c r="L715" t="s">
        <v>7330</v>
      </c>
      <c r="M715" t="s">
        <v>7330</v>
      </c>
      <c r="N715" s="501">
        <v>8311</v>
      </c>
      <c r="O715" s="501"/>
      <c r="P715">
        <v>0</v>
      </c>
      <c r="Q715" s="501">
        <v>8311</v>
      </c>
      <c r="R715" t="s">
        <v>7331</v>
      </c>
      <c r="S715">
        <v>0</v>
      </c>
    </row>
    <row r="716" spans="1:19">
      <c r="A716" t="s">
        <v>9201</v>
      </c>
      <c r="B716">
        <v>103</v>
      </c>
      <c r="C716" t="s">
        <v>7328</v>
      </c>
      <c r="D716" t="s">
        <v>10510</v>
      </c>
      <c r="E716" t="s">
        <v>10548</v>
      </c>
      <c r="F716" t="s">
        <v>10512</v>
      </c>
      <c r="G716" t="s">
        <v>10549</v>
      </c>
      <c r="H716">
        <v>-4.5</v>
      </c>
      <c r="L716" t="s">
        <v>7330</v>
      </c>
      <c r="M716" t="s">
        <v>7330</v>
      </c>
      <c r="N716" s="501">
        <v>5736</v>
      </c>
      <c r="P716">
        <v>0</v>
      </c>
      <c r="Q716" s="501">
        <v>5736</v>
      </c>
      <c r="R716" t="s">
        <v>7331</v>
      </c>
      <c r="S716">
        <v>0</v>
      </c>
    </row>
    <row r="717" spans="1:19">
      <c r="A717" t="s">
        <v>9201</v>
      </c>
      <c r="B717">
        <v>103</v>
      </c>
      <c r="C717" t="s">
        <v>7328</v>
      </c>
      <c r="D717" t="s">
        <v>10510</v>
      </c>
      <c r="E717" t="s">
        <v>10550</v>
      </c>
      <c r="F717" t="s">
        <v>10512</v>
      </c>
      <c r="G717" t="s">
        <v>10551</v>
      </c>
      <c r="H717">
        <v>-4.75</v>
      </c>
      <c r="L717" t="s">
        <v>7330</v>
      </c>
      <c r="M717" t="s">
        <v>7330</v>
      </c>
      <c r="N717" s="501">
        <v>4652</v>
      </c>
      <c r="O717" s="501"/>
      <c r="P717">
        <v>0</v>
      </c>
      <c r="Q717" s="501">
        <v>4652</v>
      </c>
      <c r="R717" t="s">
        <v>7331</v>
      </c>
      <c r="S717">
        <v>0</v>
      </c>
    </row>
    <row r="718" spans="1:19">
      <c r="A718" t="s">
        <v>9201</v>
      </c>
      <c r="B718">
        <v>103</v>
      </c>
      <c r="C718" t="s">
        <v>7328</v>
      </c>
      <c r="D718" t="s">
        <v>10510</v>
      </c>
      <c r="E718" t="s">
        <v>10552</v>
      </c>
      <c r="F718" t="s">
        <v>10512</v>
      </c>
      <c r="G718" t="s">
        <v>10553</v>
      </c>
      <c r="H718">
        <v>-5</v>
      </c>
      <c r="L718" t="s">
        <v>7330</v>
      </c>
      <c r="M718" t="s">
        <v>7330</v>
      </c>
      <c r="N718" s="501">
        <v>3940</v>
      </c>
      <c r="O718" s="501"/>
      <c r="P718">
        <v>0</v>
      </c>
      <c r="Q718" s="501">
        <v>3940</v>
      </c>
      <c r="R718" t="s">
        <v>7331</v>
      </c>
      <c r="S718">
        <v>0</v>
      </c>
    </row>
    <row r="719" spans="1:19">
      <c r="A719" t="s">
        <v>9201</v>
      </c>
      <c r="B719">
        <v>103</v>
      </c>
      <c r="C719" t="s">
        <v>7328</v>
      </c>
      <c r="D719" t="s">
        <v>10510</v>
      </c>
      <c r="E719" t="s">
        <v>10554</v>
      </c>
      <c r="F719" t="s">
        <v>10512</v>
      </c>
      <c r="G719" t="s">
        <v>10555</v>
      </c>
      <c r="H719">
        <v>-5.5</v>
      </c>
      <c r="L719" t="s">
        <v>7330</v>
      </c>
      <c r="M719" t="s">
        <v>7330</v>
      </c>
      <c r="N719" s="501">
        <v>2660</v>
      </c>
      <c r="O719" s="501"/>
      <c r="P719">
        <v>60</v>
      </c>
      <c r="Q719" s="501">
        <v>2600</v>
      </c>
      <c r="R719" t="s">
        <v>7331</v>
      </c>
      <c r="S719">
        <v>0</v>
      </c>
    </row>
    <row r="720" spans="1:19">
      <c r="A720" t="s">
        <v>9201</v>
      </c>
      <c r="B720">
        <v>103</v>
      </c>
      <c r="C720" t="s">
        <v>7328</v>
      </c>
      <c r="D720" t="s">
        <v>10510</v>
      </c>
      <c r="E720" t="s">
        <v>10556</v>
      </c>
      <c r="F720" t="s">
        <v>10512</v>
      </c>
      <c r="G720" t="s">
        <v>10557</v>
      </c>
      <c r="H720">
        <v>-6</v>
      </c>
      <c r="L720" t="s">
        <v>7330</v>
      </c>
      <c r="M720" t="s">
        <v>7330</v>
      </c>
      <c r="N720" s="501">
        <v>3732</v>
      </c>
      <c r="O720" s="501"/>
      <c r="P720">
        <v>0</v>
      </c>
      <c r="Q720" s="501">
        <v>3732</v>
      </c>
      <c r="R720" t="s">
        <v>7331</v>
      </c>
      <c r="S720">
        <v>0</v>
      </c>
    </row>
    <row r="721" spans="1:19">
      <c r="A721" t="s">
        <v>9201</v>
      </c>
      <c r="B721">
        <v>103</v>
      </c>
      <c r="C721" t="s">
        <v>7328</v>
      </c>
      <c r="D721" t="s">
        <v>10510</v>
      </c>
      <c r="E721" t="s">
        <v>10558</v>
      </c>
      <c r="F721" t="s">
        <v>10512</v>
      </c>
      <c r="G721" t="s">
        <v>10559</v>
      </c>
      <c r="H721">
        <v>-6.5</v>
      </c>
      <c r="L721" t="s">
        <v>7330</v>
      </c>
      <c r="M721" t="s">
        <v>7330</v>
      </c>
      <c r="N721" s="501">
        <v>4350</v>
      </c>
      <c r="O721" s="501"/>
      <c r="P721">
        <v>0</v>
      </c>
      <c r="Q721" s="501">
        <v>4350</v>
      </c>
      <c r="R721" t="s">
        <v>7331</v>
      </c>
      <c r="S721">
        <v>0</v>
      </c>
    </row>
    <row r="722" spans="1:19">
      <c r="A722" t="s">
        <v>9201</v>
      </c>
      <c r="B722">
        <v>103</v>
      </c>
      <c r="C722" t="s">
        <v>7328</v>
      </c>
      <c r="D722" t="s">
        <v>10510</v>
      </c>
      <c r="E722" t="s">
        <v>10560</v>
      </c>
      <c r="F722" t="s">
        <v>10512</v>
      </c>
      <c r="G722" t="s">
        <v>10561</v>
      </c>
      <c r="H722">
        <v>-7</v>
      </c>
      <c r="L722" t="s">
        <v>7330</v>
      </c>
      <c r="M722" t="s">
        <v>7330</v>
      </c>
      <c r="N722" s="501">
        <v>4422</v>
      </c>
      <c r="O722" s="501"/>
      <c r="P722">
        <v>0</v>
      </c>
      <c r="Q722" s="501">
        <v>4422</v>
      </c>
      <c r="R722" t="s">
        <v>7331</v>
      </c>
      <c r="S722">
        <v>0</v>
      </c>
    </row>
    <row r="723" spans="1:19">
      <c r="A723" t="s">
        <v>9201</v>
      </c>
      <c r="B723">
        <v>103</v>
      </c>
      <c r="C723" t="s">
        <v>7328</v>
      </c>
      <c r="D723" t="s">
        <v>10510</v>
      </c>
      <c r="E723" t="s">
        <v>10562</v>
      </c>
      <c r="F723" t="s">
        <v>10512</v>
      </c>
      <c r="G723" t="s">
        <v>10563</v>
      </c>
      <c r="H723">
        <v>-7.5</v>
      </c>
      <c r="L723" t="s">
        <v>7330</v>
      </c>
      <c r="M723" t="s">
        <v>7330</v>
      </c>
      <c r="N723" s="501">
        <v>5679</v>
      </c>
      <c r="O723" s="501"/>
      <c r="P723">
        <v>0</v>
      </c>
      <c r="Q723" s="501">
        <v>5679</v>
      </c>
      <c r="R723" t="s">
        <v>7331</v>
      </c>
      <c r="S723">
        <v>0</v>
      </c>
    </row>
    <row r="724" spans="1:19">
      <c r="A724" t="s">
        <v>9201</v>
      </c>
      <c r="B724">
        <v>103</v>
      </c>
      <c r="C724" t="s">
        <v>7328</v>
      </c>
      <c r="D724" t="s">
        <v>10510</v>
      </c>
      <c r="E724" t="s">
        <v>10564</v>
      </c>
      <c r="F724" t="s">
        <v>10512</v>
      </c>
      <c r="G724" t="s">
        <v>10565</v>
      </c>
      <c r="H724">
        <v>-8</v>
      </c>
      <c r="L724" t="s">
        <v>7330</v>
      </c>
      <c r="M724" t="s">
        <v>7330</v>
      </c>
      <c r="N724" s="501">
        <v>4749</v>
      </c>
      <c r="O724" s="501"/>
      <c r="P724">
        <v>0</v>
      </c>
      <c r="Q724" s="501">
        <v>4749</v>
      </c>
      <c r="R724" t="s">
        <v>7331</v>
      </c>
      <c r="S724">
        <v>0</v>
      </c>
    </row>
    <row r="725" spans="1:19">
      <c r="A725" t="s">
        <v>9201</v>
      </c>
      <c r="B725">
        <v>103</v>
      </c>
      <c r="C725" t="s">
        <v>7328</v>
      </c>
      <c r="D725" t="s">
        <v>10510</v>
      </c>
      <c r="E725" t="s">
        <v>10566</v>
      </c>
      <c r="F725" t="s">
        <v>10512</v>
      </c>
      <c r="G725" t="s">
        <v>10567</v>
      </c>
      <c r="H725">
        <v>-8.5</v>
      </c>
      <c r="L725" t="s">
        <v>7330</v>
      </c>
      <c r="M725" t="s">
        <v>7330</v>
      </c>
      <c r="N725" s="501">
        <v>5087</v>
      </c>
      <c r="O725" s="501"/>
      <c r="P725">
        <v>0</v>
      </c>
      <c r="Q725" s="501">
        <v>5087</v>
      </c>
      <c r="R725" t="s">
        <v>7331</v>
      </c>
      <c r="S725">
        <v>0</v>
      </c>
    </row>
    <row r="726" spans="1:19">
      <c r="A726" t="s">
        <v>9201</v>
      </c>
      <c r="B726">
        <v>103</v>
      </c>
      <c r="C726" t="s">
        <v>7328</v>
      </c>
      <c r="D726" t="s">
        <v>10510</v>
      </c>
      <c r="E726" t="s">
        <v>10568</v>
      </c>
      <c r="F726" t="s">
        <v>10512</v>
      </c>
      <c r="G726" t="s">
        <v>10569</v>
      </c>
      <c r="H726">
        <v>-9</v>
      </c>
      <c r="L726" t="s">
        <v>7330</v>
      </c>
      <c r="M726" t="s">
        <v>7330</v>
      </c>
      <c r="N726" s="501">
        <v>4984</v>
      </c>
      <c r="O726" s="501"/>
      <c r="P726">
        <v>0</v>
      </c>
      <c r="Q726" s="501">
        <v>4984</v>
      </c>
      <c r="R726" t="s">
        <v>7331</v>
      </c>
      <c r="S726">
        <v>0</v>
      </c>
    </row>
    <row r="727" spans="1:19">
      <c r="A727" t="s">
        <v>9201</v>
      </c>
      <c r="B727">
        <v>103</v>
      </c>
      <c r="C727" t="s">
        <v>7328</v>
      </c>
      <c r="D727" t="s">
        <v>10510</v>
      </c>
      <c r="E727" t="s">
        <v>10570</v>
      </c>
      <c r="F727" t="s">
        <v>10512</v>
      </c>
      <c r="G727" t="s">
        <v>10571</v>
      </c>
      <c r="H727">
        <v>-9.5</v>
      </c>
      <c r="L727" t="s">
        <v>7330</v>
      </c>
      <c r="M727" t="s">
        <v>7330</v>
      </c>
      <c r="N727" s="501">
        <v>22</v>
      </c>
      <c r="O727" s="501"/>
      <c r="P727">
        <v>0</v>
      </c>
      <c r="Q727" s="501">
        <v>22</v>
      </c>
      <c r="R727" t="s">
        <v>7331</v>
      </c>
      <c r="S727">
        <v>0</v>
      </c>
    </row>
    <row r="728" spans="1:19">
      <c r="A728" t="s">
        <v>9201</v>
      </c>
      <c r="B728">
        <v>103</v>
      </c>
      <c r="C728" t="s">
        <v>7328</v>
      </c>
      <c r="D728" t="s">
        <v>10510</v>
      </c>
      <c r="E728" t="s">
        <v>10572</v>
      </c>
      <c r="F728" t="s">
        <v>10512</v>
      </c>
      <c r="G728" t="s">
        <v>10573</v>
      </c>
      <c r="H728">
        <v>-10</v>
      </c>
      <c r="L728" t="s">
        <v>7330</v>
      </c>
      <c r="M728" t="s">
        <v>7330</v>
      </c>
      <c r="N728" s="501">
        <v>7</v>
      </c>
      <c r="O728" s="501"/>
      <c r="P728">
        <v>0</v>
      </c>
      <c r="Q728" s="501">
        <v>7</v>
      </c>
      <c r="R728" t="s">
        <v>7331</v>
      </c>
      <c r="S728">
        <v>0</v>
      </c>
    </row>
    <row r="729" spans="1:19">
      <c r="A729" t="s">
        <v>9201</v>
      </c>
      <c r="B729">
        <v>103</v>
      </c>
      <c r="C729" t="s">
        <v>7328</v>
      </c>
      <c r="D729" t="s">
        <v>10574</v>
      </c>
      <c r="E729" t="s">
        <v>10575</v>
      </c>
      <c r="F729" t="s">
        <v>10576</v>
      </c>
      <c r="G729" t="s">
        <v>10577</v>
      </c>
      <c r="H729">
        <v>0</v>
      </c>
      <c r="L729" t="s">
        <v>7330</v>
      </c>
      <c r="M729" t="s">
        <v>7330</v>
      </c>
      <c r="N729" s="501">
        <v>11380</v>
      </c>
      <c r="P729">
        <v>0</v>
      </c>
      <c r="Q729" s="501">
        <v>11380</v>
      </c>
      <c r="R729" t="s">
        <v>7331</v>
      </c>
      <c r="S729">
        <v>0</v>
      </c>
    </row>
    <row r="730" spans="1:19">
      <c r="A730" t="s">
        <v>9201</v>
      </c>
      <c r="B730">
        <v>103</v>
      </c>
      <c r="C730" t="s">
        <v>7328</v>
      </c>
      <c r="D730" t="s">
        <v>10574</v>
      </c>
      <c r="E730" t="s">
        <v>10578</v>
      </c>
      <c r="F730" t="s">
        <v>10576</v>
      </c>
      <c r="G730" t="s">
        <v>10579</v>
      </c>
      <c r="H730">
        <v>-0.5</v>
      </c>
      <c r="L730" t="s">
        <v>7330</v>
      </c>
      <c r="M730" t="s">
        <v>7330</v>
      </c>
      <c r="N730" s="501">
        <v>4330</v>
      </c>
      <c r="O730" s="501"/>
      <c r="P730">
        <v>0</v>
      </c>
      <c r="Q730" s="501">
        <v>4330</v>
      </c>
      <c r="R730" t="s">
        <v>7331</v>
      </c>
      <c r="S730">
        <v>0</v>
      </c>
    </row>
    <row r="731" spans="1:19">
      <c r="A731" t="s">
        <v>9201</v>
      </c>
      <c r="B731">
        <v>103</v>
      </c>
      <c r="C731" t="s">
        <v>7328</v>
      </c>
      <c r="D731" t="s">
        <v>10574</v>
      </c>
      <c r="E731" t="s">
        <v>10580</v>
      </c>
      <c r="F731" t="s">
        <v>10576</v>
      </c>
      <c r="G731" t="s">
        <v>10581</v>
      </c>
      <c r="H731">
        <v>-1</v>
      </c>
      <c r="L731" t="s">
        <v>7330</v>
      </c>
      <c r="M731" t="s">
        <v>7330</v>
      </c>
      <c r="N731" s="501">
        <v>6570</v>
      </c>
      <c r="O731" s="501"/>
      <c r="P731">
        <v>0</v>
      </c>
      <c r="Q731" s="501">
        <v>6570</v>
      </c>
      <c r="R731" t="s">
        <v>7331</v>
      </c>
      <c r="S731">
        <v>0</v>
      </c>
    </row>
    <row r="732" spans="1:19">
      <c r="A732" t="s">
        <v>9201</v>
      </c>
      <c r="B732">
        <v>103</v>
      </c>
      <c r="C732" t="s">
        <v>7328</v>
      </c>
      <c r="D732" t="s">
        <v>10574</v>
      </c>
      <c r="E732" t="s">
        <v>10582</v>
      </c>
      <c r="F732" t="s">
        <v>10576</v>
      </c>
      <c r="G732" t="s">
        <v>10583</v>
      </c>
      <c r="H732">
        <v>-1.25</v>
      </c>
      <c r="L732" t="s">
        <v>7330</v>
      </c>
      <c r="M732" t="s">
        <v>7330</v>
      </c>
      <c r="N732" s="501">
        <v>6570</v>
      </c>
      <c r="O732" s="501"/>
      <c r="P732">
        <v>0</v>
      </c>
      <c r="Q732" s="501">
        <v>6570</v>
      </c>
      <c r="R732" t="s">
        <v>7331</v>
      </c>
      <c r="S732">
        <v>0</v>
      </c>
    </row>
    <row r="733" spans="1:19">
      <c r="A733" t="s">
        <v>9201</v>
      </c>
      <c r="B733">
        <v>103</v>
      </c>
      <c r="C733" t="s">
        <v>7328</v>
      </c>
      <c r="D733" t="s">
        <v>10574</v>
      </c>
      <c r="E733" t="s">
        <v>10584</v>
      </c>
      <c r="F733" t="s">
        <v>10576</v>
      </c>
      <c r="G733" t="s">
        <v>10585</v>
      </c>
      <c r="H733">
        <v>-1.5</v>
      </c>
      <c r="L733" t="s">
        <v>7330</v>
      </c>
      <c r="M733" t="s">
        <v>7330</v>
      </c>
      <c r="N733" s="501">
        <v>6810</v>
      </c>
      <c r="O733" s="501"/>
      <c r="P733">
        <v>0</v>
      </c>
      <c r="Q733" s="501">
        <v>6810</v>
      </c>
      <c r="R733" t="s">
        <v>7331</v>
      </c>
      <c r="S733">
        <v>0</v>
      </c>
    </row>
    <row r="734" spans="1:19">
      <c r="A734" t="s">
        <v>9201</v>
      </c>
      <c r="B734">
        <v>103</v>
      </c>
      <c r="C734" t="s">
        <v>7328</v>
      </c>
      <c r="D734" t="s">
        <v>10574</v>
      </c>
      <c r="E734" t="s">
        <v>10586</v>
      </c>
      <c r="F734" t="s">
        <v>10576</v>
      </c>
      <c r="G734" t="s">
        <v>10587</v>
      </c>
      <c r="H734">
        <v>-1.75</v>
      </c>
      <c r="L734" t="s">
        <v>7330</v>
      </c>
      <c r="M734" t="s">
        <v>7330</v>
      </c>
      <c r="N734" s="501">
        <v>7520</v>
      </c>
      <c r="O734" s="501"/>
      <c r="P734">
        <v>0</v>
      </c>
      <c r="Q734" s="501">
        <v>7520</v>
      </c>
      <c r="R734" t="s">
        <v>7331</v>
      </c>
      <c r="S734">
        <v>0</v>
      </c>
    </row>
    <row r="735" spans="1:19">
      <c r="A735" t="s">
        <v>9201</v>
      </c>
      <c r="B735">
        <v>103</v>
      </c>
      <c r="C735" t="s">
        <v>7328</v>
      </c>
      <c r="D735" t="s">
        <v>10574</v>
      </c>
      <c r="E735" t="s">
        <v>10588</v>
      </c>
      <c r="F735" t="s">
        <v>10576</v>
      </c>
      <c r="G735" t="s">
        <v>10589</v>
      </c>
      <c r="H735">
        <v>-2</v>
      </c>
      <c r="L735" t="s">
        <v>7330</v>
      </c>
      <c r="M735" t="s">
        <v>7330</v>
      </c>
      <c r="N735" s="501">
        <v>9890</v>
      </c>
      <c r="O735" s="501"/>
      <c r="P735">
        <v>0</v>
      </c>
      <c r="Q735" s="501">
        <v>9890</v>
      </c>
      <c r="R735" t="s">
        <v>7331</v>
      </c>
      <c r="S735">
        <v>0</v>
      </c>
    </row>
    <row r="736" spans="1:19">
      <c r="A736" t="s">
        <v>9201</v>
      </c>
      <c r="B736">
        <v>103</v>
      </c>
      <c r="C736" t="s">
        <v>7328</v>
      </c>
      <c r="D736" t="s">
        <v>10574</v>
      </c>
      <c r="E736" t="s">
        <v>10590</v>
      </c>
      <c r="F736" t="s">
        <v>10576</v>
      </c>
      <c r="G736" t="s">
        <v>10591</v>
      </c>
      <c r="H736">
        <v>-2.25</v>
      </c>
      <c r="L736" t="s">
        <v>7330</v>
      </c>
      <c r="M736" t="s">
        <v>7330</v>
      </c>
      <c r="N736" s="501">
        <v>8470</v>
      </c>
      <c r="P736">
        <v>0</v>
      </c>
      <c r="Q736" s="501">
        <v>8470</v>
      </c>
      <c r="R736" t="s">
        <v>7331</v>
      </c>
      <c r="S736">
        <v>0</v>
      </c>
    </row>
    <row r="737" spans="1:19">
      <c r="A737" t="s">
        <v>9201</v>
      </c>
      <c r="B737">
        <v>103</v>
      </c>
      <c r="C737" t="s">
        <v>7328</v>
      </c>
      <c r="D737" t="s">
        <v>10574</v>
      </c>
      <c r="E737" t="s">
        <v>10592</v>
      </c>
      <c r="F737" t="s">
        <v>10576</v>
      </c>
      <c r="G737" t="s">
        <v>10593</v>
      </c>
      <c r="H737">
        <v>-2.5</v>
      </c>
      <c r="L737" t="s">
        <v>7330</v>
      </c>
      <c r="M737" t="s">
        <v>7330</v>
      </c>
      <c r="N737" s="501">
        <v>9020</v>
      </c>
      <c r="O737" s="501"/>
      <c r="P737">
        <v>0</v>
      </c>
      <c r="Q737" s="501">
        <v>9020</v>
      </c>
      <c r="R737" t="s">
        <v>7331</v>
      </c>
      <c r="S737">
        <v>0</v>
      </c>
    </row>
    <row r="738" spans="1:19">
      <c r="A738" t="s">
        <v>9201</v>
      </c>
      <c r="B738">
        <v>103</v>
      </c>
      <c r="C738" t="s">
        <v>7328</v>
      </c>
      <c r="D738" t="s">
        <v>10574</v>
      </c>
      <c r="E738" t="s">
        <v>10594</v>
      </c>
      <c r="F738" t="s">
        <v>10576</v>
      </c>
      <c r="G738" t="s">
        <v>10595</v>
      </c>
      <c r="H738">
        <v>-2.75</v>
      </c>
      <c r="L738" t="s">
        <v>7330</v>
      </c>
      <c r="M738" t="s">
        <v>7330</v>
      </c>
      <c r="N738" s="501">
        <v>5130</v>
      </c>
      <c r="P738">
        <v>0</v>
      </c>
      <c r="Q738" s="501">
        <v>5130</v>
      </c>
      <c r="R738" t="s">
        <v>7331</v>
      </c>
      <c r="S738">
        <v>0</v>
      </c>
    </row>
    <row r="739" spans="1:19">
      <c r="A739" t="s">
        <v>9201</v>
      </c>
      <c r="B739">
        <v>103</v>
      </c>
      <c r="C739" t="s">
        <v>7328</v>
      </c>
      <c r="D739" t="s">
        <v>10574</v>
      </c>
      <c r="E739" t="s">
        <v>10596</v>
      </c>
      <c r="F739" t="s">
        <v>10576</v>
      </c>
      <c r="G739" t="s">
        <v>10597</v>
      </c>
      <c r="H739">
        <v>-3</v>
      </c>
      <c r="L739" t="s">
        <v>7330</v>
      </c>
      <c r="M739" t="s">
        <v>7330</v>
      </c>
      <c r="N739" s="501">
        <v>9190</v>
      </c>
      <c r="P739">
        <v>0</v>
      </c>
      <c r="Q739" s="501">
        <v>9190</v>
      </c>
      <c r="R739" t="s">
        <v>7331</v>
      </c>
      <c r="S739">
        <v>0</v>
      </c>
    </row>
    <row r="740" spans="1:19">
      <c r="A740" t="s">
        <v>9201</v>
      </c>
      <c r="B740">
        <v>103</v>
      </c>
      <c r="C740" t="s">
        <v>7328</v>
      </c>
      <c r="D740" t="s">
        <v>10574</v>
      </c>
      <c r="E740" t="s">
        <v>10598</v>
      </c>
      <c r="F740" t="s">
        <v>10576</v>
      </c>
      <c r="G740" t="s">
        <v>10599</v>
      </c>
      <c r="H740">
        <v>-3.25</v>
      </c>
      <c r="L740" t="s">
        <v>7330</v>
      </c>
      <c r="M740" t="s">
        <v>7330</v>
      </c>
      <c r="N740" s="501">
        <v>8250</v>
      </c>
      <c r="P740">
        <v>0</v>
      </c>
      <c r="Q740" s="501">
        <v>8250</v>
      </c>
      <c r="R740" t="s">
        <v>7331</v>
      </c>
      <c r="S740">
        <v>0</v>
      </c>
    </row>
    <row r="741" spans="1:19">
      <c r="A741" t="s">
        <v>9201</v>
      </c>
      <c r="B741">
        <v>103</v>
      </c>
      <c r="C741" t="s">
        <v>7328</v>
      </c>
      <c r="D741" t="s">
        <v>10574</v>
      </c>
      <c r="E741" t="s">
        <v>10600</v>
      </c>
      <c r="F741" t="s">
        <v>10576</v>
      </c>
      <c r="G741" t="s">
        <v>10601</v>
      </c>
      <c r="H741">
        <v>-3.5</v>
      </c>
      <c r="L741" t="s">
        <v>7330</v>
      </c>
      <c r="M741" t="s">
        <v>7330</v>
      </c>
      <c r="N741" s="501">
        <v>9340</v>
      </c>
      <c r="P741">
        <v>0</v>
      </c>
      <c r="Q741" s="501">
        <v>9340</v>
      </c>
      <c r="R741" t="s">
        <v>7331</v>
      </c>
      <c r="S741">
        <v>0</v>
      </c>
    </row>
    <row r="742" spans="1:19">
      <c r="A742" t="s">
        <v>9201</v>
      </c>
      <c r="B742">
        <v>103</v>
      </c>
      <c r="C742" t="s">
        <v>7328</v>
      </c>
      <c r="D742" t="s">
        <v>10574</v>
      </c>
      <c r="E742" t="s">
        <v>10602</v>
      </c>
      <c r="F742" t="s">
        <v>10576</v>
      </c>
      <c r="G742" t="s">
        <v>10603</v>
      </c>
      <c r="H742">
        <v>-3.75</v>
      </c>
      <c r="L742" t="s">
        <v>7330</v>
      </c>
      <c r="M742" t="s">
        <v>7330</v>
      </c>
      <c r="N742" s="501">
        <v>9010</v>
      </c>
      <c r="P742">
        <v>0</v>
      </c>
      <c r="Q742" s="501">
        <v>9010</v>
      </c>
      <c r="R742" t="s">
        <v>7331</v>
      </c>
      <c r="S742">
        <v>0</v>
      </c>
    </row>
    <row r="743" spans="1:19">
      <c r="A743" t="s">
        <v>9201</v>
      </c>
      <c r="B743">
        <v>103</v>
      </c>
      <c r="C743" t="s">
        <v>7328</v>
      </c>
      <c r="D743" t="s">
        <v>10574</v>
      </c>
      <c r="E743" t="s">
        <v>10604</v>
      </c>
      <c r="F743" t="s">
        <v>10576</v>
      </c>
      <c r="G743" t="s">
        <v>10605</v>
      </c>
      <c r="H743">
        <v>-4</v>
      </c>
      <c r="L743" t="s">
        <v>7330</v>
      </c>
      <c r="M743" t="s">
        <v>7330</v>
      </c>
      <c r="N743" s="501">
        <v>9470</v>
      </c>
      <c r="O743" s="501"/>
      <c r="P743">
        <v>0</v>
      </c>
      <c r="Q743" s="501">
        <v>9470</v>
      </c>
      <c r="R743" t="s">
        <v>7331</v>
      </c>
      <c r="S743">
        <v>0</v>
      </c>
    </row>
    <row r="744" spans="1:19">
      <c r="A744" t="s">
        <v>9201</v>
      </c>
      <c r="B744">
        <v>103</v>
      </c>
      <c r="C744" t="s">
        <v>7328</v>
      </c>
      <c r="D744" t="s">
        <v>10574</v>
      </c>
      <c r="E744" t="s">
        <v>10606</v>
      </c>
      <c r="F744" t="s">
        <v>10576</v>
      </c>
      <c r="G744" t="s">
        <v>10607</v>
      </c>
      <c r="H744">
        <v>-4.25</v>
      </c>
      <c r="L744" t="s">
        <v>7330</v>
      </c>
      <c r="M744" t="s">
        <v>7330</v>
      </c>
      <c r="N744" s="501">
        <v>5810</v>
      </c>
      <c r="O744" s="501"/>
      <c r="P744">
        <v>0</v>
      </c>
      <c r="Q744" s="501">
        <v>5810</v>
      </c>
      <c r="R744" t="s">
        <v>7331</v>
      </c>
      <c r="S744">
        <v>0</v>
      </c>
    </row>
    <row r="745" spans="1:19">
      <c r="A745" t="s">
        <v>9201</v>
      </c>
      <c r="B745">
        <v>103</v>
      </c>
      <c r="C745" t="s">
        <v>7328</v>
      </c>
      <c r="D745" t="s">
        <v>10574</v>
      </c>
      <c r="E745" t="s">
        <v>10608</v>
      </c>
      <c r="F745" t="s">
        <v>10576</v>
      </c>
      <c r="G745" t="s">
        <v>10609</v>
      </c>
      <c r="H745">
        <v>-4.5</v>
      </c>
      <c r="L745" t="s">
        <v>7330</v>
      </c>
      <c r="M745" t="s">
        <v>7330</v>
      </c>
      <c r="N745" s="501">
        <v>8380</v>
      </c>
      <c r="O745" s="501"/>
      <c r="P745">
        <v>0</v>
      </c>
      <c r="Q745" s="501">
        <v>8380</v>
      </c>
      <c r="R745" t="s">
        <v>7331</v>
      </c>
      <c r="S745">
        <v>0</v>
      </c>
    </row>
    <row r="746" spans="1:19">
      <c r="A746" t="s">
        <v>9201</v>
      </c>
      <c r="B746">
        <v>103</v>
      </c>
      <c r="C746" t="s">
        <v>7328</v>
      </c>
      <c r="D746" t="s">
        <v>10574</v>
      </c>
      <c r="E746" t="s">
        <v>10610</v>
      </c>
      <c r="F746" t="s">
        <v>10576</v>
      </c>
      <c r="G746" t="s">
        <v>10611</v>
      </c>
      <c r="H746">
        <v>-4.75</v>
      </c>
      <c r="L746" t="s">
        <v>7330</v>
      </c>
      <c r="M746" t="s">
        <v>7330</v>
      </c>
      <c r="N746" s="501">
        <v>6650</v>
      </c>
      <c r="O746" s="501"/>
      <c r="P746">
        <v>0</v>
      </c>
      <c r="Q746" s="501">
        <v>6650</v>
      </c>
      <c r="R746" t="s">
        <v>7331</v>
      </c>
      <c r="S746">
        <v>0</v>
      </c>
    </row>
    <row r="747" spans="1:19">
      <c r="A747" t="s">
        <v>9201</v>
      </c>
      <c r="B747">
        <v>103</v>
      </c>
      <c r="C747" t="s">
        <v>7328</v>
      </c>
      <c r="D747" t="s">
        <v>10574</v>
      </c>
      <c r="E747" t="s">
        <v>10612</v>
      </c>
      <c r="F747" t="s">
        <v>10576</v>
      </c>
      <c r="G747" t="s">
        <v>10613</v>
      </c>
      <c r="H747">
        <v>-5</v>
      </c>
      <c r="L747" t="s">
        <v>7330</v>
      </c>
      <c r="M747" t="s">
        <v>7330</v>
      </c>
      <c r="N747" s="501">
        <v>7720</v>
      </c>
      <c r="O747" s="501"/>
      <c r="P747">
        <v>0</v>
      </c>
      <c r="Q747" s="501">
        <v>7720</v>
      </c>
      <c r="R747" t="s">
        <v>7331</v>
      </c>
      <c r="S747">
        <v>0</v>
      </c>
    </row>
    <row r="748" spans="1:19">
      <c r="A748" t="s">
        <v>9201</v>
      </c>
      <c r="B748">
        <v>103</v>
      </c>
      <c r="C748" t="s">
        <v>7328</v>
      </c>
      <c r="D748" t="s">
        <v>10574</v>
      </c>
      <c r="E748" t="s">
        <v>10614</v>
      </c>
      <c r="F748" t="s">
        <v>10576</v>
      </c>
      <c r="G748" t="s">
        <v>10615</v>
      </c>
      <c r="H748">
        <v>-5.5</v>
      </c>
      <c r="L748" t="s">
        <v>7330</v>
      </c>
      <c r="M748" t="s">
        <v>7330</v>
      </c>
      <c r="N748" s="501">
        <v>10860</v>
      </c>
      <c r="O748" s="501"/>
      <c r="P748">
        <v>0</v>
      </c>
      <c r="Q748" s="501">
        <v>10860</v>
      </c>
      <c r="R748" t="s">
        <v>7331</v>
      </c>
      <c r="S748">
        <v>0</v>
      </c>
    </row>
    <row r="749" spans="1:19">
      <c r="A749" t="s">
        <v>9201</v>
      </c>
      <c r="B749">
        <v>103</v>
      </c>
      <c r="C749" t="s">
        <v>7328</v>
      </c>
      <c r="D749" t="s">
        <v>10574</v>
      </c>
      <c r="E749" t="s">
        <v>10616</v>
      </c>
      <c r="F749" t="s">
        <v>10576</v>
      </c>
      <c r="G749" t="s">
        <v>10617</v>
      </c>
      <c r="H749">
        <v>-6</v>
      </c>
      <c r="L749" t="s">
        <v>7330</v>
      </c>
      <c r="M749" t="s">
        <v>7330</v>
      </c>
      <c r="N749" s="501">
        <v>8440</v>
      </c>
      <c r="O749" s="501"/>
      <c r="P749">
        <v>0</v>
      </c>
      <c r="Q749" s="501">
        <v>8440</v>
      </c>
      <c r="R749" t="s">
        <v>7331</v>
      </c>
      <c r="S749">
        <v>0</v>
      </c>
    </row>
    <row r="750" spans="1:19">
      <c r="A750" t="s">
        <v>9201</v>
      </c>
      <c r="B750">
        <v>103</v>
      </c>
      <c r="C750" t="s">
        <v>7328</v>
      </c>
      <c r="D750" t="s">
        <v>10574</v>
      </c>
      <c r="E750" t="s">
        <v>10618</v>
      </c>
      <c r="F750" t="s">
        <v>10576</v>
      </c>
      <c r="G750" t="s">
        <v>10619</v>
      </c>
      <c r="H750">
        <v>-6.5</v>
      </c>
      <c r="L750" t="s">
        <v>7330</v>
      </c>
      <c r="M750" t="s">
        <v>7330</v>
      </c>
      <c r="N750" s="501">
        <v>3910</v>
      </c>
      <c r="O750" s="501"/>
      <c r="P750">
        <v>0</v>
      </c>
      <c r="Q750" s="501">
        <v>3910</v>
      </c>
      <c r="R750" t="s">
        <v>7331</v>
      </c>
      <c r="S750">
        <v>0</v>
      </c>
    </row>
    <row r="751" spans="1:19">
      <c r="A751" t="s">
        <v>9201</v>
      </c>
      <c r="B751">
        <v>103</v>
      </c>
      <c r="C751" t="s">
        <v>7328</v>
      </c>
      <c r="D751" t="s">
        <v>10574</v>
      </c>
      <c r="E751" t="s">
        <v>10620</v>
      </c>
      <c r="F751" t="s">
        <v>10576</v>
      </c>
      <c r="G751" t="s">
        <v>10621</v>
      </c>
      <c r="H751">
        <v>-7</v>
      </c>
      <c r="L751" t="s">
        <v>7330</v>
      </c>
      <c r="M751" t="s">
        <v>7330</v>
      </c>
      <c r="N751" s="501">
        <v>4870</v>
      </c>
      <c r="O751" s="501"/>
      <c r="P751">
        <v>0</v>
      </c>
      <c r="Q751" s="501">
        <v>4870</v>
      </c>
      <c r="R751" t="s">
        <v>7331</v>
      </c>
      <c r="S751">
        <v>0</v>
      </c>
    </row>
    <row r="752" spans="1:19">
      <c r="A752" t="s">
        <v>9201</v>
      </c>
      <c r="B752">
        <v>103</v>
      </c>
      <c r="C752" t="s">
        <v>7328</v>
      </c>
      <c r="D752" t="s">
        <v>10574</v>
      </c>
      <c r="E752" t="s">
        <v>10622</v>
      </c>
      <c r="F752" t="s">
        <v>10576</v>
      </c>
      <c r="G752" t="s">
        <v>10623</v>
      </c>
      <c r="H752">
        <v>-7.5</v>
      </c>
      <c r="L752" t="s">
        <v>7330</v>
      </c>
      <c r="M752" t="s">
        <v>7330</v>
      </c>
      <c r="N752" s="501">
        <v>3670</v>
      </c>
      <c r="O752" s="501"/>
      <c r="P752">
        <v>0</v>
      </c>
      <c r="Q752" s="501">
        <v>3670</v>
      </c>
      <c r="R752" t="s">
        <v>7331</v>
      </c>
      <c r="S752">
        <v>0</v>
      </c>
    </row>
    <row r="753" spans="1:19">
      <c r="A753" t="s">
        <v>9201</v>
      </c>
      <c r="B753">
        <v>103</v>
      </c>
      <c r="C753" t="s">
        <v>7328</v>
      </c>
      <c r="D753" t="s">
        <v>10574</v>
      </c>
      <c r="E753" t="s">
        <v>10624</v>
      </c>
      <c r="F753" t="s">
        <v>10576</v>
      </c>
      <c r="G753" t="s">
        <v>10625</v>
      </c>
      <c r="H753">
        <v>-8</v>
      </c>
      <c r="L753" t="s">
        <v>7330</v>
      </c>
      <c r="M753" t="s">
        <v>7330</v>
      </c>
      <c r="N753" s="501">
        <v>3420</v>
      </c>
      <c r="O753" s="501"/>
      <c r="P753">
        <v>0</v>
      </c>
      <c r="Q753" s="501">
        <v>3420</v>
      </c>
      <c r="R753" t="s">
        <v>7331</v>
      </c>
      <c r="S753">
        <v>0</v>
      </c>
    </row>
    <row r="754" spans="1:19">
      <c r="A754" t="s">
        <v>9201</v>
      </c>
      <c r="B754">
        <v>103</v>
      </c>
      <c r="C754" t="s">
        <v>7328</v>
      </c>
      <c r="D754" t="s">
        <v>12010</v>
      </c>
      <c r="E754" t="s">
        <v>12011</v>
      </c>
      <c r="F754" t="s">
        <v>12012</v>
      </c>
      <c r="G754" t="s">
        <v>12013</v>
      </c>
      <c r="H754">
        <v>-1</v>
      </c>
      <c r="K754" t="s">
        <v>10179</v>
      </c>
      <c r="L754" t="s">
        <v>12014</v>
      </c>
      <c r="M754" t="s">
        <v>12015</v>
      </c>
      <c r="N754" s="501"/>
      <c r="O754" s="501">
        <v>45</v>
      </c>
      <c r="P754">
        <v>45</v>
      </c>
      <c r="Q754" s="501"/>
      <c r="R754" t="s">
        <v>9818</v>
      </c>
      <c r="S754">
        <v>0</v>
      </c>
    </row>
    <row r="755" spans="1:19">
      <c r="A755" t="s">
        <v>9201</v>
      </c>
      <c r="B755">
        <v>103</v>
      </c>
      <c r="C755" t="s">
        <v>7328</v>
      </c>
      <c r="D755" t="s">
        <v>10626</v>
      </c>
      <c r="E755" t="s">
        <v>10627</v>
      </c>
      <c r="F755" t="s">
        <v>10628</v>
      </c>
      <c r="G755" t="s">
        <v>10629</v>
      </c>
      <c r="H755">
        <v>-3.75</v>
      </c>
      <c r="L755" t="s">
        <v>7330</v>
      </c>
      <c r="M755" t="s">
        <v>7330</v>
      </c>
      <c r="N755" s="501">
        <v>40</v>
      </c>
      <c r="O755" s="501"/>
      <c r="P755">
        <v>0</v>
      </c>
      <c r="Q755" s="501">
        <v>40</v>
      </c>
      <c r="R755" t="s">
        <v>7329</v>
      </c>
      <c r="S755">
        <v>0</v>
      </c>
    </row>
    <row r="756" spans="1:19">
      <c r="A756" t="s">
        <v>9201</v>
      </c>
      <c r="B756">
        <v>103</v>
      </c>
      <c r="C756" t="s">
        <v>7328</v>
      </c>
      <c r="D756" t="s">
        <v>10626</v>
      </c>
      <c r="E756" t="s">
        <v>10630</v>
      </c>
      <c r="F756" t="s">
        <v>10628</v>
      </c>
      <c r="G756" t="s">
        <v>10631</v>
      </c>
      <c r="H756">
        <v>-5</v>
      </c>
      <c r="L756" t="s">
        <v>7330</v>
      </c>
      <c r="M756" t="s">
        <v>7330</v>
      </c>
      <c r="N756" s="501">
        <v>30</v>
      </c>
      <c r="O756" s="501"/>
      <c r="P756">
        <v>0</v>
      </c>
      <c r="Q756" s="501">
        <v>30</v>
      </c>
      <c r="R756" t="s">
        <v>7329</v>
      </c>
      <c r="S756">
        <v>0</v>
      </c>
    </row>
    <row r="757" spans="1:19">
      <c r="A757" t="s">
        <v>9201</v>
      </c>
      <c r="B757">
        <v>103</v>
      </c>
      <c r="C757" t="s">
        <v>7328</v>
      </c>
      <c r="D757" t="s">
        <v>10626</v>
      </c>
      <c r="E757" t="s">
        <v>10632</v>
      </c>
      <c r="F757" t="s">
        <v>10628</v>
      </c>
      <c r="G757" t="s">
        <v>10633</v>
      </c>
      <c r="H757">
        <v>-6</v>
      </c>
      <c r="L757" t="s">
        <v>7330</v>
      </c>
      <c r="M757" t="s">
        <v>7330</v>
      </c>
      <c r="N757" s="501">
        <v>30</v>
      </c>
      <c r="O757" s="501"/>
      <c r="P757">
        <v>0</v>
      </c>
      <c r="Q757" s="501">
        <v>30</v>
      </c>
      <c r="R757" t="s">
        <v>7329</v>
      </c>
      <c r="S757">
        <v>0</v>
      </c>
    </row>
    <row r="758" spans="1:19">
      <c r="A758" t="s">
        <v>9201</v>
      </c>
      <c r="B758">
        <v>103</v>
      </c>
      <c r="C758" t="s">
        <v>7328</v>
      </c>
      <c r="D758" t="s">
        <v>10626</v>
      </c>
      <c r="E758" t="s">
        <v>10634</v>
      </c>
      <c r="F758" t="s">
        <v>10628</v>
      </c>
      <c r="G758" t="s">
        <v>10635</v>
      </c>
      <c r="H758">
        <v>-7</v>
      </c>
      <c r="L758" t="s">
        <v>7330</v>
      </c>
      <c r="M758" t="s">
        <v>7330</v>
      </c>
      <c r="N758" s="501">
        <v>30</v>
      </c>
      <c r="O758" s="501"/>
      <c r="P758">
        <v>0</v>
      </c>
      <c r="Q758" s="501">
        <v>30</v>
      </c>
      <c r="R758" t="s">
        <v>7329</v>
      </c>
      <c r="S758">
        <v>0</v>
      </c>
    </row>
    <row r="759" spans="1:19">
      <c r="A759" t="s">
        <v>9201</v>
      </c>
      <c r="B759">
        <v>103</v>
      </c>
      <c r="C759" t="s">
        <v>7328</v>
      </c>
      <c r="D759" t="s">
        <v>10626</v>
      </c>
      <c r="E759" t="s">
        <v>10636</v>
      </c>
      <c r="F759" t="s">
        <v>10628</v>
      </c>
      <c r="G759" t="s">
        <v>10637</v>
      </c>
      <c r="H759">
        <v>-8</v>
      </c>
      <c r="L759" t="s">
        <v>7330</v>
      </c>
      <c r="M759" t="s">
        <v>7330</v>
      </c>
      <c r="N759" s="501">
        <v>30</v>
      </c>
      <c r="O759" s="501"/>
      <c r="P759">
        <v>0</v>
      </c>
      <c r="Q759" s="501">
        <v>30</v>
      </c>
      <c r="R759" t="s">
        <v>7329</v>
      </c>
      <c r="S759">
        <v>0</v>
      </c>
    </row>
    <row r="760" spans="1:19">
      <c r="A760" t="s">
        <v>9201</v>
      </c>
      <c r="B760">
        <v>103</v>
      </c>
      <c r="C760" t="s">
        <v>7328</v>
      </c>
      <c r="D760" t="s">
        <v>10626</v>
      </c>
      <c r="E760" t="s">
        <v>10638</v>
      </c>
      <c r="F760" t="s">
        <v>10628</v>
      </c>
      <c r="G760" t="s">
        <v>10639</v>
      </c>
      <c r="H760">
        <v>-8.5</v>
      </c>
      <c r="L760" t="s">
        <v>7330</v>
      </c>
      <c r="M760" t="s">
        <v>7330</v>
      </c>
      <c r="N760" s="501">
        <v>30</v>
      </c>
      <c r="O760" s="501"/>
      <c r="P760">
        <v>0</v>
      </c>
      <c r="Q760" s="501">
        <v>30</v>
      </c>
      <c r="R760" t="s">
        <v>7329</v>
      </c>
      <c r="S760">
        <v>0</v>
      </c>
    </row>
    <row r="761" spans="1:19">
      <c r="A761" t="s">
        <v>9201</v>
      </c>
      <c r="B761">
        <v>103</v>
      </c>
      <c r="C761" t="s">
        <v>7328</v>
      </c>
      <c r="D761" t="s">
        <v>10640</v>
      </c>
      <c r="E761" t="s">
        <v>10641</v>
      </c>
      <c r="F761" t="s">
        <v>10642</v>
      </c>
      <c r="G761" t="s">
        <v>10643</v>
      </c>
      <c r="H761">
        <v>-1</v>
      </c>
      <c r="I761">
        <v>-0.75</v>
      </c>
      <c r="J761">
        <v>180</v>
      </c>
      <c r="L761" t="s">
        <v>7330</v>
      </c>
      <c r="M761" t="s">
        <v>7330</v>
      </c>
      <c r="N761" s="501">
        <v>20</v>
      </c>
      <c r="O761" s="501"/>
      <c r="P761">
        <v>0</v>
      </c>
      <c r="Q761" s="501">
        <v>20</v>
      </c>
      <c r="R761" t="s">
        <v>9737</v>
      </c>
      <c r="S761">
        <v>0</v>
      </c>
    </row>
    <row r="762" spans="1:19">
      <c r="A762" t="s">
        <v>9201</v>
      </c>
      <c r="B762">
        <v>103</v>
      </c>
      <c r="C762" t="s">
        <v>7328</v>
      </c>
      <c r="D762" t="s">
        <v>10640</v>
      </c>
      <c r="E762" t="s">
        <v>10644</v>
      </c>
      <c r="F762" t="s">
        <v>10642</v>
      </c>
      <c r="G762" t="s">
        <v>10645</v>
      </c>
      <c r="H762">
        <v>-1.5</v>
      </c>
      <c r="I762">
        <v>-0.75</v>
      </c>
      <c r="J762">
        <v>180</v>
      </c>
      <c r="L762" t="s">
        <v>7330</v>
      </c>
      <c r="M762" t="s">
        <v>7330</v>
      </c>
      <c r="N762" s="501">
        <v>30</v>
      </c>
      <c r="O762" s="501"/>
      <c r="P762">
        <v>0</v>
      </c>
      <c r="Q762" s="501">
        <v>30</v>
      </c>
      <c r="R762" t="s">
        <v>9737</v>
      </c>
      <c r="S762">
        <v>0</v>
      </c>
    </row>
    <row r="763" spans="1:19">
      <c r="A763" t="s">
        <v>9201</v>
      </c>
      <c r="B763">
        <v>103</v>
      </c>
      <c r="C763" t="s">
        <v>7328</v>
      </c>
      <c r="D763" t="s">
        <v>10640</v>
      </c>
      <c r="E763" t="s">
        <v>10646</v>
      </c>
      <c r="F763" t="s">
        <v>10642</v>
      </c>
      <c r="G763" t="s">
        <v>10647</v>
      </c>
      <c r="H763">
        <v>-3</v>
      </c>
      <c r="I763">
        <v>-0.75</v>
      </c>
      <c r="J763">
        <v>180</v>
      </c>
      <c r="L763" t="s">
        <v>7330</v>
      </c>
      <c r="M763" t="s">
        <v>7330</v>
      </c>
      <c r="N763" s="501">
        <v>30</v>
      </c>
      <c r="O763" s="501"/>
      <c r="P763">
        <v>0</v>
      </c>
      <c r="Q763" s="501">
        <v>30</v>
      </c>
      <c r="R763" t="s">
        <v>9737</v>
      </c>
      <c r="S763">
        <v>0</v>
      </c>
    </row>
    <row r="764" spans="1:19">
      <c r="A764" t="s">
        <v>9201</v>
      </c>
      <c r="B764">
        <v>103</v>
      </c>
      <c r="C764" t="s">
        <v>7328</v>
      </c>
      <c r="D764" t="s">
        <v>10640</v>
      </c>
      <c r="E764" t="s">
        <v>10648</v>
      </c>
      <c r="F764" t="s">
        <v>10642</v>
      </c>
      <c r="G764" t="s">
        <v>10649</v>
      </c>
      <c r="H764">
        <v>-5</v>
      </c>
      <c r="I764">
        <v>-0.75</v>
      </c>
      <c r="J764">
        <v>180</v>
      </c>
      <c r="L764" t="s">
        <v>7330</v>
      </c>
      <c r="M764" t="s">
        <v>7330</v>
      </c>
      <c r="N764" s="501">
        <v>30</v>
      </c>
      <c r="O764" s="501"/>
      <c r="P764">
        <v>0</v>
      </c>
      <c r="Q764" s="501">
        <v>30</v>
      </c>
      <c r="R764" t="s">
        <v>9737</v>
      </c>
      <c r="S764">
        <v>0</v>
      </c>
    </row>
    <row r="765" spans="1:19">
      <c r="A765" t="s">
        <v>9201</v>
      </c>
      <c r="B765">
        <v>103</v>
      </c>
      <c r="C765" t="s">
        <v>7328</v>
      </c>
      <c r="D765" t="s">
        <v>10640</v>
      </c>
      <c r="E765" t="s">
        <v>10650</v>
      </c>
      <c r="F765" t="s">
        <v>10642</v>
      </c>
      <c r="G765" t="s">
        <v>10651</v>
      </c>
      <c r="H765">
        <v>-7.5</v>
      </c>
      <c r="I765">
        <v>-0.75</v>
      </c>
      <c r="J765">
        <v>180</v>
      </c>
      <c r="L765" t="s">
        <v>7330</v>
      </c>
      <c r="M765" t="s">
        <v>7330</v>
      </c>
      <c r="N765" s="501">
        <v>30</v>
      </c>
      <c r="O765" s="501"/>
      <c r="P765">
        <v>0</v>
      </c>
      <c r="Q765" s="501">
        <v>30</v>
      </c>
      <c r="R765" t="s">
        <v>9737</v>
      </c>
      <c r="S765">
        <v>0</v>
      </c>
    </row>
    <row r="766" spans="1:19">
      <c r="A766" t="s">
        <v>9201</v>
      </c>
      <c r="B766">
        <v>103</v>
      </c>
      <c r="C766" t="s">
        <v>7328</v>
      </c>
      <c r="D766" t="s">
        <v>10652</v>
      </c>
      <c r="E766" t="s">
        <v>10653</v>
      </c>
      <c r="F766" t="s">
        <v>10654</v>
      </c>
      <c r="G766" t="s">
        <v>10655</v>
      </c>
      <c r="H766">
        <v>-5.25</v>
      </c>
      <c r="I766">
        <v>-1.25</v>
      </c>
      <c r="J766">
        <v>180</v>
      </c>
      <c r="L766" t="s">
        <v>7330</v>
      </c>
      <c r="M766" t="s">
        <v>7330</v>
      </c>
      <c r="N766" s="501">
        <v>150</v>
      </c>
      <c r="O766" s="501"/>
      <c r="P766">
        <v>0</v>
      </c>
      <c r="Q766" s="501">
        <v>150</v>
      </c>
      <c r="R766" t="s">
        <v>9737</v>
      </c>
      <c r="S766">
        <v>0</v>
      </c>
    </row>
    <row r="767" spans="1:19">
      <c r="A767" t="s">
        <v>9201</v>
      </c>
      <c r="B767">
        <v>103</v>
      </c>
      <c r="C767" t="s">
        <v>7328</v>
      </c>
      <c r="D767" t="s">
        <v>10656</v>
      </c>
      <c r="E767" t="s">
        <v>10657</v>
      </c>
      <c r="F767" t="s">
        <v>10658</v>
      </c>
      <c r="G767" t="s">
        <v>10659</v>
      </c>
      <c r="H767">
        <v>-0.75</v>
      </c>
      <c r="I767">
        <v>-1.75</v>
      </c>
      <c r="J767">
        <v>180</v>
      </c>
      <c r="L767" t="s">
        <v>7330</v>
      </c>
      <c r="M767" t="s">
        <v>7330</v>
      </c>
      <c r="N767" s="501">
        <v>90</v>
      </c>
      <c r="O767" s="501"/>
      <c r="P767">
        <v>0</v>
      </c>
      <c r="Q767" s="501">
        <v>90</v>
      </c>
      <c r="R767" t="s">
        <v>9737</v>
      </c>
      <c r="S767">
        <v>0</v>
      </c>
    </row>
    <row r="768" spans="1:19">
      <c r="A768" t="s">
        <v>9201</v>
      </c>
      <c r="B768">
        <v>103</v>
      </c>
      <c r="C768" t="s">
        <v>7328</v>
      </c>
      <c r="D768" t="s">
        <v>10660</v>
      </c>
      <c r="E768" t="s">
        <v>10661</v>
      </c>
      <c r="F768" t="s">
        <v>10662</v>
      </c>
      <c r="G768" t="s">
        <v>10663</v>
      </c>
      <c r="H768">
        <v>-1</v>
      </c>
      <c r="I768">
        <v>-0.75</v>
      </c>
      <c r="J768">
        <v>180</v>
      </c>
      <c r="L768" t="s">
        <v>7330</v>
      </c>
      <c r="M768" t="s">
        <v>7330</v>
      </c>
      <c r="N768" s="501">
        <v>20</v>
      </c>
      <c r="O768" s="501"/>
      <c r="P768">
        <v>0</v>
      </c>
      <c r="Q768" s="501">
        <v>20</v>
      </c>
      <c r="R768" t="s">
        <v>9737</v>
      </c>
      <c r="S768">
        <v>0</v>
      </c>
    </row>
    <row r="769" spans="1:19">
      <c r="A769" t="s">
        <v>9201</v>
      </c>
      <c r="B769">
        <v>103</v>
      </c>
      <c r="C769" t="s">
        <v>7328</v>
      </c>
      <c r="D769" t="s">
        <v>10660</v>
      </c>
      <c r="E769" t="s">
        <v>10664</v>
      </c>
      <c r="F769" t="s">
        <v>10662</v>
      </c>
      <c r="G769" t="s">
        <v>10665</v>
      </c>
      <c r="H769">
        <v>-3.5</v>
      </c>
      <c r="I769">
        <v>-0.75</v>
      </c>
      <c r="J769">
        <v>180</v>
      </c>
      <c r="L769" t="s">
        <v>7330</v>
      </c>
      <c r="M769" t="s">
        <v>7330</v>
      </c>
      <c r="N769" s="501">
        <v>30</v>
      </c>
      <c r="O769" s="501"/>
      <c r="P769">
        <v>0</v>
      </c>
      <c r="Q769" s="501">
        <v>30</v>
      </c>
      <c r="R769" t="s">
        <v>9737</v>
      </c>
      <c r="S769">
        <v>0</v>
      </c>
    </row>
    <row r="770" spans="1:19">
      <c r="A770" t="s">
        <v>9201</v>
      </c>
      <c r="B770">
        <v>103</v>
      </c>
      <c r="C770" t="s">
        <v>7328</v>
      </c>
      <c r="D770" t="s">
        <v>10660</v>
      </c>
      <c r="E770" t="s">
        <v>10666</v>
      </c>
      <c r="F770" t="s">
        <v>10662</v>
      </c>
      <c r="G770" t="s">
        <v>10667</v>
      </c>
      <c r="H770">
        <v>-7</v>
      </c>
      <c r="I770">
        <v>-0.75</v>
      </c>
      <c r="J770">
        <v>180</v>
      </c>
      <c r="L770" t="s">
        <v>7330</v>
      </c>
      <c r="M770" t="s">
        <v>7330</v>
      </c>
      <c r="N770" s="501">
        <v>30</v>
      </c>
      <c r="O770" s="501"/>
      <c r="P770">
        <v>0</v>
      </c>
      <c r="Q770" s="501">
        <v>30</v>
      </c>
      <c r="R770" t="s">
        <v>9737</v>
      </c>
      <c r="S770">
        <v>0</v>
      </c>
    </row>
    <row r="771" spans="1:19">
      <c r="A771" t="s">
        <v>9201</v>
      </c>
      <c r="B771">
        <v>103</v>
      </c>
      <c r="C771" t="s">
        <v>7328</v>
      </c>
      <c r="D771" t="s">
        <v>10668</v>
      </c>
      <c r="E771" t="s">
        <v>10669</v>
      </c>
      <c r="F771" t="s">
        <v>10670</v>
      </c>
      <c r="G771" t="s">
        <v>10671</v>
      </c>
      <c r="H771">
        <v>-2</v>
      </c>
      <c r="I771">
        <v>-1.25</v>
      </c>
      <c r="J771">
        <v>180</v>
      </c>
      <c r="L771" t="s">
        <v>7330</v>
      </c>
      <c r="M771" t="s">
        <v>7330</v>
      </c>
      <c r="N771" s="501">
        <v>30</v>
      </c>
      <c r="O771" s="501"/>
      <c r="P771">
        <v>0</v>
      </c>
      <c r="Q771" s="501">
        <v>30</v>
      </c>
      <c r="R771" t="s">
        <v>9737</v>
      </c>
      <c r="S771">
        <v>0</v>
      </c>
    </row>
    <row r="772" spans="1:19">
      <c r="A772" t="s">
        <v>9201</v>
      </c>
      <c r="B772">
        <v>103</v>
      </c>
      <c r="C772" t="s">
        <v>7328</v>
      </c>
      <c r="D772" t="s">
        <v>10668</v>
      </c>
      <c r="E772" t="s">
        <v>10672</v>
      </c>
      <c r="F772" t="s">
        <v>10670</v>
      </c>
      <c r="G772" t="s">
        <v>10673</v>
      </c>
      <c r="H772">
        <v>-2.25</v>
      </c>
      <c r="I772">
        <v>-1.25</v>
      </c>
      <c r="J772">
        <v>180</v>
      </c>
      <c r="L772" t="s">
        <v>7330</v>
      </c>
      <c r="M772" t="s">
        <v>7330</v>
      </c>
      <c r="N772" s="501">
        <v>30</v>
      </c>
      <c r="O772" s="501"/>
      <c r="P772">
        <v>0</v>
      </c>
      <c r="Q772" s="501">
        <v>30</v>
      </c>
      <c r="R772" t="s">
        <v>9737</v>
      </c>
      <c r="S772">
        <v>0</v>
      </c>
    </row>
    <row r="773" spans="1:19">
      <c r="A773" t="s">
        <v>9201</v>
      </c>
      <c r="B773">
        <v>103</v>
      </c>
      <c r="C773" t="s">
        <v>7328</v>
      </c>
      <c r="D773" t="s">
        <v>10668</v>
      </c>
      <c r="E773" t="s">
        <v>10674</v>
      </c>
      <c r="F773" t="s">
        <v>10670</v>
      </c>
      <c r="G773" t="s">
        <v>10675</v>
      </c>
      <c r="H773">
        <v>-5.25</v>
      </c>
      <c r="I773">
        <v>-1.25</v>
      </c>
      <c r="J773">
        <v>180</v>
      </c>
      <c r="L773" t="s">
        <v>7330</v>
      </c>
      <c r="M773" t="s">
        <v>7330</v>
      </c>
      <c r="N773" s="501">
        <v>30</v>
      </c>
      <c r="P773">
        <v>0</v>
      </c>
      <c r="Q773" s="501">
        <v>30</v>
      </c>
      <c r="R773" t="s">
        <v>9737</v>
      </c>
      <c r="S773">
        <v>0</v>
      </c>
    </row>
    <row r="774" spans="1:19">
      <c r="A774" t="s">
        <v>9201</v>
      </c>
      <c r="B774">
        <v>103</v>
      </c>
      <c r="C774" t="s">
        <v>7328</v>
      </c>
      <c r="D774" t="s">
        <v>10676</v>
      </c>
      <c r="E774" t="s">
        <v>10677</v>
      </c>
      <c r="F774" t="s">
        <v>10678</v>
      </c>
      <c r="G774" t="s">
        <v>10679</v>
      </c>
      <c r="H774">
        <v>-2.25</v>
      </c>
      <c r="I774">
        <v>-1.75</v>
      </c>
      <c r="J774">
        <v>180</v>
      </c>
      <c r="L774" t="s">
        <v>7330</v>
      </c>
      <c r="M774" t="s">
        <v>7330</v>
      </c>
      <c r="N774" s="501">
        <v>90</v>
      </c>
      <c r="O774" s="501"/>
      <c r="P774">
        <v>0</v>
      </c>
      <c r="Q774" s="501">
        <v>90</v>
      </c>
      <c r="R774" t="s">
        <v>9737</v>
      </c>
      <c r="S774">
        <v>0</v>
      </c>
    </row>
    <row r="775" spans="1:19">
      <c r="A775" t="s">
        <v>9201</v>
      </c>
      <c r="B775">
        <v>103</v>
      </c>
      <c r="C775" t="s">
        <v>7328</v>
      </c>
      <c r="D775" t="s">
        <v>10680</v>
      </c>
      <c r="E775" t="s">
        <v>10681</v>
      </c>
      <c r="F775" t="s">
        <v>10682</v>
      </c>
      <c r="G775" t="s">
        <v>10683</v>
      </c>
      <c r="H775">
        <v>-0.75</v>
      </c>
      <c r="K775" t="s">
        <v>10186</v>
      </c>
      <c r="L775" t="s">
        <v>10684</v>
      </c>
      <c r="M775" t="s">
        <v>10685</v>
      </c>
      <c r="N775" s="501"/>
      <c r="O775" s="501">
        <v>10</v>
      </c>
      <c r="P775">
        <v>10</v>
      </c>
      <c r="Q775" s="501"/>
      <c r="R775" t="s">
        <v>7329</v>
      </c>
      <c r="S775">
        <v>0</v>
      </c>
    </row>
    <row r="776" spans="1:19">
      <c r="A776" t="s">
        <v>9201</v>
      </c>
      <c r="B776">
        <v>103</v>
      </c>
      <c r="C776" t="s">
        <v>7328</v>
      </c>
      <c r="D776" t="s">
        <v>10686</v>
      </c>
      <c r="E776" t="s">
        <v>10687</v>
      </c>
      <c r="F776" t="s">
        <v>10688</v>
      </c>
      <c r="G776" t="s">
        <v>10689</v>
      </c>
      <c r="H776">
        <v>-1.5</v>
      </c>
      <c r="L776" t="s">
        <v>7330</v>
      </c>
      <c r="M776" t="s">
        <v>7330</v>
      </c>
      <c r="N776" s="501">
        <v>10</v>
      </c>
      <c r="O776" s="501"/>
      <c r="P776">
        <v>0</v>
      </c>
      <c r="Q776" s="501">
        <v>10</v>
      </c>
      <c r="R776" t="s">
        <v>7331</v>
      </c>
      <c r="S776">
        <v>0</v>
      </c>
    </row>
    <row r="777" spans="1:19">
      <c r="A777" t="s">
        <v>9201</v>
      </c>
      <c r="B777">
        <v>103</v>
      </c>
      <c r="C777" t="s">
        <v>7328</v>
      </c>
      <c r="D777" t="s">
        <v>10686</v>
      </c>
      <c r="E777" t="s">
        <v>10690</v>
      </c>
      <c r="F777" t="s">
        <v>10688</v>
      </c>
      <c r="G777" t="s">
        <v>10691</v>
      </c>
      <c r="H777">
        <v>-2</v>
      </c>
      <c r="L777" t="s">
        <v>7330</v>
      </c>
      <c r="M777" t="s">
        <v>7330</v>
      </c>
      <c r="N777" s="501">
        <v>20</v>
      </c>
      <c r="O777" s="501"/>
      <c r="P777">
        <v>0</v>
      </c>
      <c r="Q777" s="501">
        <v>20</v>
      </c>
      <c r="R777" t="s">
        <v>7331</v>
      </c>
      <c r="S777">
        <v>0</v>
      </c>
    </row>
    <row r="778" spans="1:19">
      <c r="A778" t="s">
        <v>9201</v>
      </c>
      <c r="B778">
        <v>103</v>
      </c>
      <c r="C778" t="s">
        <v>7328</v>
      </c>
      <c r="D778" t="s">
        <v>10686</v>
      </c>
      <c r="E778" t="s">
        <v>10692</v>
      </c>
      <c r="F778" t="s">
        <v>10688</v>
      </c>
      <c r="G778" t="s">
        <v>10693</v>
      </c>
      <c r="H778">
        <v>-2.25</v>
      </c>
      <c r="L778" t="s">
        <v>7330</v>
      </c>
      <c r="M778" t="s">
        <v>7330</v>
      </c>
      <c r="N778" s="501">
        <v>10</v>
      </c>
      <c r="O778" s="501"/>
      <c r="P778">
        <v>0</v>
      </c>
      <c r="Q778" s="501">
        <v>10</v>
      </c>
      <c r="R778" t="s">
        <v>7331</v>
      </c>
      <c r="S778">
        <v>0</v>
      </c>
    </row>
    <row r="779" spans="1:19">
      <c r="A779" t="s">
        <v>9201</v>
      </c>
      <c r="B779">
        <v>103</v>
      </c>
      <c r="C779" t="s">
        <v>7328</v>
      </c>
      <c r="D779" t="s">
        <v>10686</v>
      </c>
      <c r="E779" t="s">
        <v>10694</v>
      </c>
      <c r="F779" t="s">
        <v>10688</v>
      </c>
      <c r="G779" t="s">
        <v>10695</v>
      </c>
      <c r="H779">
        <v>-2.75</v>
      </c>
      <c r="L779" t="s">
        <v>7330</v>
      </c>
      <c r="M779" t="s">
        <v>7330</v>
      </c>
      <c r="N779" s="501">
        <v>10</v>
      </c>
      <c r="P779">
        <v>0</v>
      </c>
      <c r="Q779" s="501">
        <v>10</v>
      </c>
      <c r="R779" t="s">
        <v>7331</v>
      </c>
      <c r="S779">
        <v>0</v>
      </c>
    </row>
    <row r="780" spans="1:19">
      <c r="A780" t="s">
        <v>9201</v>
      </c>
      <c r="B780">
        <v>103</v>
      </c>
      <c r="C780" t="s">
        <v>7328</v>
      </c>
      <c r="D780" t="s">
        <v>10686</v>
      </c>
      <c r="E780" t="s">
        <v>10696</v>
      </c>
      <c r="F780" t="s">
        <v>10688</v>
      </c>
      <c r="G780" t="s">
        <v>10697</v>
      </c>
      <c r="H780">
        <v>-3.5</v>
      </c>
      <c r="L780" t="s">
        <v>7330</v>
      </c>
      <c r="M780" t="s">
        <v>7330</v>
      </c>
      <c r="N780" s="501">
        <v>20</v>
      </c>
      <c r="O780" s="501"/>
      <c r="P780">
        <v>0</v>
      </c>
      <c r="Q780" s="501">
        <v>20</v>
      </c>
      <c r="R780" t="s">
        <v>7331</v>
      </c>
      <c r="S780">
        <v>0</v>
      </c>
    </row>
    <row r="781" spans="1:19">
      <c r="A781" t="s">
        <v>9201</v>
      </c>
      <c r="B781">
        <v>103</v>
      </c>
      <c r="C781" t="s">
        <v>7328</v>
      </c>
      <c r="D781" t="s">
        <v>10686</v>
      </c>
      <c r="E781" t="s">
        <v>10698</v>
      </c>
      <c r="F781" t="s">
        <v>10688</v>
      </c>
      <c r="G781" t="s">
        <v>10699</v>
      </c>
      <c r="H781">
        <v>-4</v>
      </c>
      <c r="L781" t="s">
        <v>7330</v>
      </c>
      <c r="M781" t="s">
        <v>7330</v>
      </c>
      <c r="N781" s="501">
        <v>10</v>
      </c>
      <c r="O781" s="501"/>
      <c r="P781">
        <v>0</v>
      </c>
      <c r="Q781" s="501">
        <v>10</v>
      </c>
      <c r="R781" t="s">
        <v>7331</v>
      </c>
      <c r="S781">
        <v>0</v>
      </c>
    </row>
    <row r="782" spans="1:19">
      <c r="A782" t="s">
        <v>9201</v>
      </c>
      <c r="B782">
        <v>103</v>
      </c>
      <c r="C782" t="s">
        <v>7328</v>
      </c>
      <c r="D782" t="s">
        <v>10686</v>
      </c>
      <c r="E782" t="s">
        <v>10700</v>
      </c>
      <c r="F782" t="s">
        <v>10688</v>
      </c>
      <c r="G782" t="s">
        <v>10701</v>
      </c>
      <c r="H782">
        <v>-4.25</v>
      </c>
      <c r="L782" t="s">
        <v>7330</v>
      </c>
      <c r="M782" t="s">
        <v>7330</v>
      </c>
      <c r="N782" s="501">
        <v>10</v>
      </c>
      <c r="P782">
        <v>0</v>
      </c>
      <c r="Q782" s="501">
        <v>10</v>
      </c>
      <c r="R782" t="s">
        <v>7331</v>
      </c>
      <c r="S782">
        <v>0</v>
      </c>
    </row>
    <row r="783" spans="1:19">
      <c r="A783" t="s">
        <v>9201</v>
      </c>
      <c r="B783">
        <v>103</v>
      </c>
      <c r="C783" t="s">
        <v>7328</v>
      </c>
      <c r="D783" t="s">
        <v>10686</v>
      </c>
      <c r="E783" t="s">
        <v>10702</v>
      </c>
      <c r="F783" t="s">
        <v>10688</v>
      </c>
      <c r="G783" t="s">
        <v>10703</v>
      </c>
      <c r="H783">
        <v>-4.75</v>
      </c>
      <c r="L783" t="s">
        <v>7330</v>
      </c>
      <c r="M783" t="s">
        <v>7330</v>
      </c>
      <c r="N783" s="501">
        <v>10</v>
      </c>
      <c r="O783" s="501"/>
      <c r="P783">
        <v>0</v>
      </c>
      <c r="Q783" s="501">
        <v>10</v>
      </c>
      <c r="R783" t="s">
        <v>7331</v>
      </c>
      <c r="S783">
        <v>0</v>
      </c>
    </row>
    <row r="784" spans="1:19">
      <c r="A784" t="s">
        <v>9201</v>
      </c>
      <c r="B784">
        <v>103</v>
      </c>
      <c r="C784" t="s">
        <v>7328</v>
      </c>
      <c r="D784" t="s">
        <v>10686</v>
      </c>
      <c r="E784" t="s">
        <v>10704</v>
      </c>
      <c r="F784" t="s">
        <v>10688</v>
      </c>
      <c r="G784" t="s">
        <v>10705</v>
      </c>
      <c r="H784">
        <v>-6.5</v>
      </c>
      <c r="L784" t="s">
        <v>7330</v>
      </c>
      <c r="M784" t="s">
        <v>7330</v>
      </c>
      <c r="N784" s="501">
        <v>10</v>
      </c>
      <c r="O784" s="501"/>
      <c r="P784">
        <v>0</v>
      </c>
      <c r="Q784" s="501">
        <v>10</v>
      </c>
      <c r="R784" t="s">
        <v>7331</v>
      </c>
      <c r="S784">
        <v>0</v>
      </c>
    </row>
    <row r="785" spans="1:19">
      <c r="A785" t="s">
        <v>9201</v>
      </c>
      <c r="B785">
        <v>103</v>
      </c>
      <c r="C785" t="s">
        <v>7328</v>
      </c>
      <c r="D785" t="s">
        <v>10686</v>
      </c>
      <c r="E785" t="s">
        <v>10706</v>
      </c>
      <c r="F785" t="s">
        <v>10688</v>
      </c>
      <c r="G785" t="s">
        <v>10707</v>
      </c>
      <c r="H785">
        <v>-7</v>
      </c>
      <c r="L785" t="s">
        <v>7330</v>
      </c>
      <c r="M785" t="s">
        <v>7330</v>
      </c>
      <c r="N785" s="501">
        <v>10</v>
      </c>
      <c r="O785" s="501"/>
      <c r="P785">
        <v>0</v>
      </c>
      <c r="Q785" s="501">
        <v>10</v>
      </c>
      <c r="R785" t="s">
        <v>7331</v>
      </c>
      <c r="S785">
        <v>0</v>
      </c>
    </row>
    <row r="786" spans="1:19">
      <c r="A786" t="s">
        <v>9201</v>
      </c>
      <c r="B786">
        <v>103</v>
      </c>
      <c r="C786" t="s">
        <v>7328</v>
      </c>
      <c r="D786" t="s">
        <v>10686</v>
      </c>
      <c r="E786" t="s">
        <v>10708</v>
      </c>
      <c r="F786" t="s">
        <v>10688</v>
      </c>
      <c r="G786" t="s">
        <v>10709</v>
      </c>
      <c r="H786">
        <v>-7.5</v>
      </c>
      <c r="L786" t="s">
        <v>7330</v>
      </c>
      <c r="M786" t="s">
        <v>7330</v>
      </c>
      <c r="N786" s="501">
        <v>20</v>
      </c>
      <c r="P786">
        <v>0</v>
      </c>
      <c r="Q786" s="501">
        <v>20</v>
      </c>
      <c r="R786" t="s">
        <v>7331</v>
      </c>
      <c r="S786">
        <v>0</v>
      </c>
    </row>
    <row r="787" spans="1:19">
      <c r="A787" t="s">
        <v>9201</v>
      </c>
      <c r="B787">
        <v>103</v>
      </c>
      <c r="C787" t="s">
        <v>7328</v>
      </c>
      <c r="D787" t="s">
        <v>10710</v>
      </c>
      <c r="E787" t="s">
        <v>10711</v>
      </c>
      <c r="F787" t="s">
        <v>10712</v>
      </c>
      <c r="G787" t="s">
        <v>10713</v>
      </c>
      <c r="H787">
        <v>0</v>
      </c>
      <c r="I787">
        <v>-0.75</v>
      </c>
      <c r="J787">
        <v>180</v>
      </c>
      <c r="L787" t="s">
        <v>7330</v>
      </c>
      <c r="M787" t="s">
        <v>7330</v>
      </c>
      <c r="N787" s="501">
        <v>5326</v>
      </c>
      <c r="P787">
        <v>0</v>
      </c>
      <c r="Q787" s="501">
        <v>5326</v>
      </c>
      <c r="R787" t="s">
        <v>10714</v>
      </c>
      <c r="S787">
        <v>0</v>
      </c>
    </row>
    <row r="788" spans="1:19">
      <c r="A788" t="s">
        <v>9201</v>
      </c>
      <c r="B788">
        <v>103</v>
      </c>
      <c r="C788" t="s">
        <v>7328</v>
      </c>
      <c r="D788" t="s">
        <v>10710</v>
      </c>
      <c r="E788" t="s">
        <v>10715</v>
      </c>
      <c r="F788" t="s">
        <v>10712</v>
      </c>
      <c r="G788" t="s">
        <v>10716</v>
      </c>
      <c r="H788">
        <v>0</v>
      </c>
      <c r="I788">
        <v>-1.25</v>
      </c>
      <c r="J788">
        <v>180</v>
      </c>
      <c r="L788" t="s">
        <v>7330</v>
      </c>
      <c r="M788" t="s">
        <v>7330</v>
      </c>
      <c r="N788" s="501">
        <v>7618</v>
      </c>
      <c r="O788" s="501"/>
      <c r="P788">
        <v>0</v>
      </c>
      <c r="Q788" s="501">
        <v>7618</v>
      </c>
      <c r="R788" t="s">
        <v>10714</v>
      </c>
      <c r="S788">
        <v>0</v>
      </c>
    </row>
    <row r="789" spans="1:19">
      <c r="A789" t="s">
        <v>9201</v>
      </c>
      <c r="B789">
        <v>103</v>
      </c>
      <c r="C789" t="s">
        <v>7328</v>
      </c>
      <c r="D789" t="s">
        <v>10710</v>
      </c>
      <c r="E789" t="s">
        <v>10717</v>
      </c>
      <c r="F789" t="s">
        <v>10712</v>
      </c>
      <c r="G789" t="s">
        <v>10718</v>
      </c>
      <c r="H789">
        <v>0</v>
      </c>
      <c r="I789">
        <v>-1.75</v>
      </c>
      <c r="J789">
        <v>180</v>
      </c>
      <c r="L789" t="s">
        <v>7330</v>
      </c>
      <c r="M789" t="s">
        <v>7330</v>
      </c>
      <c r="N789" s="501">
        <v>10147</v>
      </c>
      <c r="O789" s="501"/>
      <c r="P789">
        <v>30</v>
      </c>
      <c r="Q789" s="501">
        <v>10117</v>
      </c>
      <c r="R789" t="s">
        <v>10714</v>
      </c>
      <c r="S789">
        <v>0</v>
      </c>
    </row>
    <row r="790" spans="1:19">
      <c r="A790" t="s">
        <v>9201</v>
      </c>
      <c r="B790">
        <v>103</v>
      </c>
      <c r="C790" t="s">
        <v>7328</v>
      </c>
      <c r="D790" t="s">
        <v>10710</v>
      </c>
      <c r="E790" t="s">
        <v>10719</v>
      </c>
      <c r="F790" t="s">
        <v>10712</v>
      </c>
      <c r="G790" t="s">
        <v>10720</v>
      </c>
      <c r="H790">
        <v>-0.5</v>
      </c>
      <c r="I790">
        <v>-0.75</v>
      </c>
      <c r="J790">
        <v>180</v>
      </c>
      <c r="L790" t="s">
        <v>7330</v>
      </c>
      <c r="M790" t="s">
        <v>7330</v>
      </c>
      <c r="N790" s="501">
        <v>13727</v>
      </c>
      <c r="P790">
        <v>0</v>
      </c>
      <c r="Q790" s="501">
        <v>13727</v>
      </c>
      <c r="R790" t="s">
        <v>10714</v>
      </c>
      <c r="S790">
        <v>0</v>
      </c>
    </row>
    <row r="791" spans="1:19">
      <c r="A791" t="s">
        <v>9201</v>
      </c>
      <c r="B791">
        <v>103</v>
      </c>
      <c r="C791" t="s">
        <v>7328</v>
      </c>
      <c r="D791" t="s">
        <v>10710</v>
      </c>
      <c r="E791" t="s">
        <v>10721</v>
      </c>
      <c r="F791" t="s">
        <v>10712</v>
      </c>
      <c r="G791" t="s">
        <v>10722</v>
      </c>
      <c r="H791">
        <v>-0.5</v>
      </c>
      <c r="I791">
        <v>-1.25</v>
      </c>
      <c r="J791">
        <v>180</v>
      </c>
      <c r="L791" t="s">
        <v>7330</v>
      </c>
      <c r="M791" t="s">
        <v>7330</v>
      </c>
      <c r="N791" s="501">
        <v>8965</v>
      </c>
      <c r="P791">
        <v>0</v>
      </c>
      <c r="Q791" s="501">
        <v>8965</v>
      </c>
      <c r="R791" t="s">
        <v>10714</v>
      </c>
      <c r="S791">
        <v>0</v>
      </c>
    </row>
    <row r="792" spans="1:19">
      <c r="A792" t="s">
        <v>9201</v>
      </c>
      <c r="B792">
        <v>103</v>
      </c>
      <c r="C792" t="s">
        <v>7328</v>
      </c>
      <c r="D792" t="s">
        <v>10710</v>
      </c>
      <c r="E792" t="s">
        <v>10723</v>
      </c>
      <c r="F792" t="s">
        <v>10712</v>
      </c>
      <c r="G792" t="s">
        <v>10724</v>
      </c>
      <c r="H792">
        <v>-0.5</v>
      </c>
      <c r="I792">
        <v>-1.75</v>
      </c>
      <c r="J792">
        <v>180</v>
      </c>
      <c r="L792" t="s">
        <v>7330</v>
      </c>
      <c r="M792" t="s">
        <v>7330</v>
      </c>
      <c r="N792" s="501">
        <v>5110</v>
      </c>
      <c r="P792">
        <v>0</v>
      </c>
      <c r="Q792" s="501">
        <v>5110</v>
      </c>
      <c r="R792" t="s">
        <v>10714</v>
      </c>
      <c r="S792">
        <v>0</v>
      </c>
    </row>
    <row r="793" spans="1:19">
      <c r="A793" t="s">
        <v>9201</v>
      </c>
      <c r="B793">
        <v>103</v>
      </c>
      <c r="C793" t="s">
        <v>7328</v>
      </c>
      <c r="D793" t="s">
        <v>10710</v>
      </c>
      <c r="E793" t="s">
        <v>10725</v>
      </c>
      <c r="F793" t="s">
        <v>10712</v>
      </c>
      <c r="G793" t="s">
        <v>10726</v>
      </c>
      <c r="H793">
        <v>-0.75</v>
      </c>
      <c r="I793">
        <v>-0.75</v>
      </c>
      <c r="J793">
        <v>180</v>
      </c>
      <c r="L793" t="s">
        <v>7330</v>
      </c>
      <c r="M793" t="s">
        <v>7330</v>
      </c>
      <c r="N793" s="501">
        <v>11602</v>
      </c>
      <c r="P793">
        <v>0</v>
      </c>
      <c r="Q793" s="501">
        <v>11602</v>
      </c>
      <c r="R793" t="s">
        <v>10714</v>
      </c>
      <c r="S793">
        <v>0</v>
      </c>
    </row>
    <row r="794" spans="1:19">
      <c r="A794" t="s">
        <v>9201</v>
      </c>
      <c r="B794">
        <v>103</v>
      </c>
      <c r="C794" t="s">
        <v>7328</v>
      </c>
      <c r="D794" t="s">
        <v>10710</v>
      </c>
      <c r="E794" t="s">
        <v>10727</v>
      </c>
      <c r="F794" t="s">
        <v>10712</v>
      </c>
      <c r="G794" t="s">
        <v>10728</v>
      </c>
      <c r="H794">
        <v>-0.75</v>
      </c>
      <c r="I794">
        <v>-1.25</v>
      </c>
      <c r="J794">
        <v>180</v>
      </c>
      <c r="L794" t="s">
        <v>7330</v>
      </c>
      <c r="M794" t="s">
        <v>7330</v>
      </c>
      <c r="N794" s="501">
        <v>9225</v>
      </c>
      <c r="P794">
        <v>0</v>
      </c>
      <c r="Q794" s="501">
        <v>9225</v>
      </c>
      <c r="R794" t="s">
        <v>10714</v>
      </c>
      <c r="S794">
        <v>0</v>
      </c>
    </row>
    <row r="795" spans="1:19">
      <c r="A795" t="s">
        <v>9201</v>
      </c>
      <c r="B795">
        <v>103</v>
      </c>
      <c r="C795" t="s">
        <v>7328</v>
      </c>
      <c r="D795" t="s">
        <v>10710</v>
      </c>
      <c r="E795" t="s">
        <v>10729</v>
      </c>
      <c r="F795" t="s">
        <v>10712</v>
      </c>
      <c r="G795" t="s">
        <v>10730</v>
      </c>
      <c r="H795">
        <v>-0.75</v>
      </c>
      <c r="I795">
        <v>-1.75</v>
      </c>
      <c r="J795">
        <v>180</v>
      </c>
      <c r="L795" t="s">
        <v>7330</v>
      </c>
      <c r="M795" t="s">
        <v>7330</v>
      </c>
      <c r="N795" s="501">
        <v>8650</v>
      </c>
      <c r="O795" s="501"/>
      <c r="P795">
        <v>0</v>
      </c>
      <c r="Q795" s="501">
        <v>8650</v>
      </c>
      <c r="R795" t="s">
        <v>10714</v>
      </c>
      <c r="S795">
        <v>0</v>
      </c>
    </row>
    <row r="796" spans="1:19">
      <c r="A796" t="s">
        <v>9201</v>
      </c>
      <c r="B796">
        <v>103</v>
      </c>
      <c r="C796" t="s">
        <v>7328</v>
      </c>
      <c r="D796" t="s">
        <v>10710</v>
      </c>
      <c r="E796" t="s">
        <v>10731</v>
      </c>
      <c r="F796" t="s">
        <v>10712</v>
      </c>
      <c r="G796" t="s">
        <v>10732</v>
      </c>
      <c r="H796">
        <v>-1</v>
      </c>
      <c r="I796">
        <v>-0.75</v>
      </c>
      <c r="J796">
        <v>180</v>
      </c>
      <c r="L796" t="s">
        <v>7330</v>
      </c>
      <c r="M796" t="s">
        <v>7330</v>
      </c>
      <c r="N796" s="501">
        <v>6338</v>
      </c>
      <c r="O796" s="501"/>
      <c r="P796">
        <v>0</v>
      </c>
      <c r="Q796" s="501">
        <v>6338</v>
      </c>
      <c r="R796" t="s">
        <v>10714</v>
      </c>
      <c r="S796">
        <v>0</v>
      </c>
    </row>
    <row r="797" spans="1:19">
      <c r="A797" t="s">
        <v>9201</v>
      </c>
      <c r="B797">
        <v>103</v>
      </c>
      <c r="C797" t="s">
        <v>7328</v>
      </c>
      <c r="D797" t="s">
        <v>10710</v>
      </c>
      <c r="E797" t="s">
        <v>10733</v>
      </c>
      <c r="F797" t="s">
        <v>10712</v>
      </c>
      <c r="G797" t="s">
        <v>10734</v>
      </c>
      <c r="H797">
        <v>-1</v>
      </c>
      <c r="I797">
        <v>-1.25</v>
      </c>
      <c r="J797">
        <v>180</v>
      </c>
      <c r="L797" t="s">
        <v>7330</v>
      </c>
      <c r="M797" t="s">
        <v>7330</v>
      </c>
      <c r="N797" s="501">
        <v>13377</v>
      </c>
      <c r="O797" s="501"/>
      <c r="P797">
        <v>0</v>
      </c>
      <c r="Q797" s="501">
        <v>13377</v>
      </c>
      <c r="R797" t="s">
        <v>10714</v>
      </c>
      <c r="S797">
        <v>0</v>
      </c>
    </row>
    <row r="798" spans="1:19">
      <c r="A798" t="s">
        <v>9201</v>
      </c>
      <c r="B798">
        <v>103</v>
      </c>
      <c r="C798" t="s">
        <v>7328</v>
      </c>
      <c r="D798" t="s">
        <v>10710</v>
      </c>
      <c r="E798" t="s">
        <v>10735</v>
      </c>
      <c r="F798" t="s">
        <v>10712</v>
      </c>
      <c r="G798" t="s">
        <v>10736</v>
      </c>
      <c r="H798">
        <v>-1</v>
      </c>
      <c r="I798">
        <v>-1.75</v>
      </c>
      <c r="J798">
        <v>180</v>
      </c>
      <c r="L798" t="s">
        <v>7330</v>
      </c>
      <c r="M798" t="s">
        <v>7330</v>
      </c>
      <c r="N798" s="501">
        <v>9652</v>
      </c>
      <c r="P798">
        <v>0</v>
      </c>
      <c r="Q798" s="501">
        <v>9652</v>
      </c>
      <c r="R798" t="s">
        <v>10714</v>
      </c>
      <c r="S798">
        <v>0</v>
      </c>
    </row>
    <row r="799" spans="1:19">
      <c r="A799" t="s">
        <v>9201</v>
      </c>
      <c r="B799">
        <v>103</v>
      </c>
      <c r="C799" t="s">
        <v>7328</v>
      </c>
      <c r="D799" t="s">
        <v>10710</v>
      </c>
      <c r="E799" t="s">
        <v>10737</v>
      </c>
      <c r="F799" t="s">
        <v>10712</v>
      </c>
      <c r="G799" t="s">
        <v>10738</v>
      </c>
      <c r="H799">
        <v>-1.25</v>
      </c>
      <c r="I799">
        <v>-0.75</v>
      </c>
      <c r="J799">
        <v>180</v>
      </c>
      <c r="L799" t="s">
        <v>7330</v>
      </c>
      <c r="M799" t="s">
        <v>7330</v>
      </c>
      <c r="N799" s="501">
        <v>12746</v>
      </c>
      <c r="P799">
        <v>0</v>
      </c>
      <c r="Q799" s="501">
        <v>12746</v>
      </c>
      <c r="R799" t="s">
        <v>10714</v>
      </c>
      <c r="S799">
        <v>0</v>
      </c>
    </row>
    <row r="800" spans="1:19">
      <c r="A800" t="s">
        <v>9201</v>
      </c>
      <c r="B800">
        <v>103</v>
      </c>
      <c r="C800" t="s">
        <v>7328</v>
      </c>
      <c r="D800" t="s">
        <v>10710</v>
      </c>
      <c r="E800" t="s">
        <v>10739</v>
      </c>
      <c r="F800" t="s">
        <v>10712</v>
      </c>
      <c r="G800" t="s">
        <v>10740</v>
      </c>
      <c r="H800">
        <v>-1.25</v>
      </c>
      <c r="I800">
        <v>-1.25</v>
      </c>
      <c r="J800">
        <v>180</v>
      </c>
      <c r="L800" t="s">
        <v>7330</v>
      </c>
      <c r="M800" t="s">
        <v>7330</v>
      </c>
      <c r="N800" s="501">
        <v>7870</v>
      </c>
      <c r="P800">
        <v>0</v>
      </c>
      <c r="Q800" s="501">
        <v>7870</v>
      </c>
      <c r="R800" t="s">
        <v>10714</v>
      </c>
      <c r="S800">
        <v>0</v>
      </c>
    </row>
    <row r="801" spans="1:19">
      <c r="A801" t="s">
        <v>9201</v>
      </c>
      <c r="B801">
        <v>103</v>
      </c>
      <c r="C801" t="s">
        <v>7328</v>
      </c>
      <c r="D801" t="s">
        <v>10710</v>
      </c>
      <c r="E801" t="s">
        <v>10741</v>
      </c>
      <c r="F801" t="s">
        <v>10712</v>
      </c>
      <c r="G801" t="s">
        <v>10742</v>
      </c>
      <c r="H801">
        <v>-1.25</v>
      </c>
      <c r="I801">
        <v>-1.75</v>
      </c>
      <c r="J801">
        <v>180</v>
      </c>
      <c r="L801" t="s">
        <v>7330</v>
      </c>
      <c r="M801" t="s">
        <v>7330</v>
      </c>
      <c r="N801" s="501">
        <v>6537</v>
      </c>
      <c r="O801" s="501"/>
      <c r="P801">
        <v>0</v>
      </c>
      <c r="Q801" s="501">
        <v>6537</v>
      </c>
      <c r="R801" t="s">
        <v>10714</v>
      </c>
      <c r="S801">
        <v>0</v>
      </c>
    </row>
    <row r="802" spans="1:19">
      <c r="A802" t="s">
        <v>9201</v>
      </c>
      <c r="B802">
        <v>103</v>
      </c>
      <c r="C802" t="s">
        <v>7328</v>
      </c>
      <c r="D802" t="s">
        <v>10710</v>
      </c>
      <c r="E802" t="s">
        <v>10743</v>
      </c>
      <c r="F802" t="s">
        <v>10712</v>
      </c>
      <c r="G802" t="s">
        <v>10744</v>
      </c>
      <c r="H802">
        <v>-1.5</v>
      </c>
      <c r="I802">
        <v>-0.75</v>
      </c>
      <c r="J802">
        <v>180</v>
      </c>
      <c r="L802" t="s">
        <v>7330</v>
      </c>
      <c r="M802" t="s">
        <v>7330</v>
      </c>
      <c r="N802" s="501">
        <v>9322</v>
      </c>
      <c r="P802">
        <v>0</v>
      </c>
      <c r="Q802" s="501">
        <v>9322</v>
      </c>
      <c r="R802" t="s">
        <v>10714</v>
      </c>
      <c r="S802">
        <v>0</v>
      </c>
    </row>
    <row r="803" spans="1:19">
      <c r="A803" t="s">
        <v>9201</v>
      </c>
      <c r="B803">
        <v>103</v>
      </c>
      <c r="C803" t="s">
        <v>7328</v>
      </c>
      <c r="D803" t="s">
        <v>10710</v>
      </c>
      <c r="E803" t="s">
        <v>10745</v>
      </c>
      <c r="F803" t="s">
        <v>10712</v>
      </c>
      <c r="G803" t="s">
        <v>10746</v>
      </c>
      <c r="H803">
        <v>-1.5</v>
      </c>
      <c r="I803">
        <v>-1.25</v>
      </c>
      <c r="J803">
        <v>180</v>
      </c>
      <c r="L803" t="s">
        <v>7330</v>
      </c>
      <c r="M803" t="s">
        <v>7330</v>
      </c>
      <c r="N803" s="501">
        <v>9556</v>
      </c>
      <c r="P803">
        <v>0</v>
      </c>
      <c r="Q803" s="501">
        <v>9556</v>
      </c>
      <c r="R803" t="s">
        <v>10714</v>
      </c>
      <c r="S803">
        <v>0</v>
      </c>
    </row>
    <row r="804" spans="1:19">
      <c r="A804" t="s">
        <v>9201</v>
      </c>
      <c r="B804">
        <v>103</v>
      </c>
      <c r="C804" t="s">
        <v>7328</v>
      </c>
      <c r="D804" t="s">
        <v>10710</v>
      </c>
      <c r="E804" t="s">
        <v>10747</v>
      </c>
      <c r="F804" t="s">
        <v>10712</v>
      </c>
      <c r="G804" t="s">
        <v>10748</v>
      </c>
      <c r="H804">
        <v>-1.5</v>
      </c>
      <c r="I804">
        <v>-1.75</v>
      </c>
      <c r="J804">
        <v>180</v>
      </c>
      <c r="L804" t="s">
        <v>7330</v>
      </c>
      <c r="M804" t="s">
        <v>7330</v>
      </c>
      <c r="N804" s="501">
        <v>5565</v>
      </c>
      <c r="P804">
        <v>0</v>
      </c>
      <c r="Q804" s="501">
        <v>5565</v>
      </c>
      <c r="R804" t="s">
        <v>10714</v>
      </c>
      <c r="S804">
        <v>0</v>
      </c>
    </row>
    <row r="805" spans="1:19">
      <c r="A805" t="s">
        <v>9201</v>
      </c>
      <c r="B805">
        <v>103</v>
      </c>
      <c r="C805" t="s">
        <v>7328</v>
      </c>
      <c r="D805" t="s">
        <v>10710</v>
      </c>
      <c r="E805" t="s">
        <v>10749</v>
      </c>
      <c r="F805" t="s">
        <v>10712</v>
      </c>
      <c r="G805" t="s">
        <v>10750</v>
      </c>
      <c r="H805">
        <v>-1.75</v>
      </c>
      <c r="I805">
        <v>-0.75</v>
      </c>
      <c r="J805">
        <v>180</v>
      </c>
      <c r="L805" t="s">
        <v>7330</v>
      </c>
      <c r="M805" t="s">
        <v>7330</v>
      </c>
      <c r="N805" s="501">
        <v>11191</v>
      </c>
      <c r="P805">
        <v>0</v>
      </c>
      <c r="Q805" s="501">
        <v>11191</v>
      </c>
      <c r="R805" t="s">
        <v>10714</v>
      </c>
      <c r="S805">
        <v>0</v>
      </c>
    </row>
    <row r="806" spans="1:19">
      <c r="A806" t="s">
        <v>9201</v>
      </c>
      <c r="B806">
        <v>103</v>
      </c>
      <c r="C806" t="s">
        <v>7328</v>
      </c>
      <c r="D806" t="s">
        <v>10710</v>
      </c>
      <c r="E806" t="s">
        <v>10751</v>
      </c>
      <c r="F806" t="s">
        <v>10712</v>
      </c>
      <c r="G806" t="s">
        <v>10752</v>
      </c>
      <c r="H806">
        <v>-1.75</v>
      </c>
      <c r="I806">
        <v>-1.25</v>
      </c>
      <c r="J806">
        <v>180</v>
      </c>
      <c r="L806" t="s">
        <v>7330</v>
      </c>
      <c r="M806" t="s">
        <v>7330</v>
      </c>
      <c r="N806" s="501">
        <v>7247</v>
      </c>
      <c r="P806">
        <v>0</v>
      </c>
      <c r="Q806" s="501">
        <v>7247</v>
      </c>
      <c r="R806" t="s">
        <v>10714</v>
      </c>
      <c r="S806">
        <v>0</v>
      </c>
    </row>
    <row r="807" spans="1:19">
      <c r="A807" t="s">
        <v>9201</v>
      </c>
      <c r="B807">
        <v>103</v>
      </c>
      <c r="C807" t="s">
        <v>7328</v>
      </c>
      <c r="D807" t="s">
        <v>10710</v>
      </c>
      <c r="E807" t="s">
        <v>10753</v>
      </c>
      <c r="F807" t="s">
        <v>10712</v>
      </c>
      <c r="G807" t="s">
        <v>10754</v>
      </c>
      <c r="H807">
        <v>-1.75</v>
      </c>
      <c r="I807">
        <v>-1.75</v>
      </c>
      <c r="J807">
        <v>180</v>
      </c>
      <c r="L807" t="s">
        <v>7330</v>
      </c>
      <c r="M807" t="s">
        <v>7330</v>
      </c>
      <c r="N807" s="501">
        <v>5496</v>
      </c>
      <c r="P807">
        <v>0</v>
      </c>
      <c r="Q807" s="501">
        <v>5496</v>
      </c>
      <c r="R807" t="s">
        <v>10714</v>
      </c>
      <c r="S807">
        <v>0</v>
      </c>
    </row>
    <row r="808" spans="1:19">
      <c r="A808" t="s">
        <v>9201</v>
      </c>
      <c r="B808">
        <v>103</v>
      </c>
      <c r="C808" t="s">
        <v>7328</v>
      </c>
      <c r="D808" t="s">
        <v>10710</v>
      </c>
      <c r="E808" t="s">
        <v>10755</v>
      </c>
      <c r="F808" t="s">
        <v>10712</v>
      </c>
      <c r="G808" t="s">
        <v>10756</v>
      </c>
      <c r="H808">
        <v>-2</v>
      </c>
      <c r="I808">
        <v>-0.75</v>
      </c>
      <c r="J808">
        <v>180</v>
      </c>
      <c r="L808" t="s">
        <v>7330</v>
      </c>
      <c r="M808" t="s">
        <v>7330</v>
      </c>
      <c r="N808" s="501">
        <v>9497</v>
      </c>
      <c r="O808" s="501"/>
      <c r="P808">
        <v>0</v>
      </c>
      <c r="Q808" s="501">
        <v>9497</v>
      </c>
      <c r="R808" t="s">
        <v>10714</v>
      </c>
      <c r="S808">
        <v>0</v>
      </c>
    </row>
    <row r="809" spans="1:19">
      <c r="A809" t="s">
        <v>9201</v>
      </c>
      <c r="B809">
        <v>103</v>
      </c>
      <c r="C809" t="s">
        <v>7328</v>
      </c>
      <c r="D809" t="s">
        <v>10710</v>
      </c>
      <c r="E809" t="s">
        <v>10757</v>
      </c>
      <c r="F809" t="s">
        <v>10712</v>
      </c>
      <c r="G809" t="s">
        <v>10758</v>
      </c>
      <c r="H809">
        <v>-2</v>
      </c>
      <c r="I809">
        <v>-1.25</v>
      </c>
      <c r="J809">
        <v>180</v>
      </c>
      <c r="L809" t="s">
        <v>7330</v>
      </c>
      <c r="M809" t="s">
        <v>7330</v>
      </c>
      <c r="N809" s="501">
        <v>10100</v>
      </c>
      <c r="P809">
        <v>0</v>
      </c>
      <c r="Q809" s="501">
        <v>10100</v>
      </c>
      <c r="R809" t="s">
        <v>10714</v>
      </c>
      <c r="S809">
        <v>0</v>
      </c>
    </row>
    <row r="810" spans="1:19">
      <c r="A810" t="s">
        <v>9201</v>
      </c>
      <c r="B810">
        <v>103</v>
      </c>
      <c r="C810" t="s">
        <v>7328</v>
      </c>
      <c r="D810" t="s">
        <v>10710</v>
      </c>
      <c r="E810" t="s">
        <v>10759</v>
      </c>
      <c r="F810" t="s">
        <v>10712</v>
      </c>
      <c r="G810" t="s">
        <v>10760</v>
      </c>
      <c r="H810">
        <v>-2</v>
      </c>
      <c r="I810">
        <v>-1.75</v>
      </c>
      <c r="J810">
        <v>180</v>
      </c>
      <c r="L810" t="s">
        <v>7330</v>
      </c>
      <c r="M810" t="s">
        <v>7330</v>
      </c>
      <c r="N810" s="501">
        <v>6415</v>
      </c>
      <c r="O810" s="501"/>
      <c r="P810">
        <v>0</v>
      </c>
      <c r="Q810" s="501">
        <v>6415</v>
      </c>
      <c r="R810" t="s">
        <v>10714</v>
      </c>
      <c r="S810">
        <v>0</v>
      </c>
    </row>
    <row r="811" spans="1:19">
      <c r="A811" t="s">
        <v>9201</v>
      </c>
      <c r="B811">
        <v>103</v>
      </c>
      <c r="C811" t="s">
        <v>7328</v>
      </c>
      <c r="D811" t="s">
        <v>10710</v>
      </c>
      <c r="E811" t="s">
        <v>10761</v>
      </c>
      <c r="F811" t="s">
        <v>10712</v>
      </c>
      <c r="G811" t="s">
        <v>10762</v>
      </c>
      <c r="H811">
        <v>-2.25</v>
      </c>
      <c r="I811">
        <v>-0.75</v>
      </c>
      <c r="J811">
        <v>180</v>
      </c>
      <c r="L811" t="s">
        <v>7330</v>
      </c>
      <c r="M811" t="s">
        <v>7330</v>
      </c>
      <c r="N811" s="501">
        <v>8512</v>
      </c>
      <c r="P811">
        <v>0</v>
      </c>
      <c r="Q811" s="501">
        <v>8512</v>
      </c>
      <c r="R811" t="s">
        <v>10714</v>
      </c>
      <c r="S811">
        <v>0</v>
      </c>
    </row>
    <row r="812" spans="1:19">
      <c r="A812" t="s">
        <v>9201</v>
      </c>
      <c r="B812">
        <v>103</v>
      </c>
      <c r="C812" t="s">
        <v>7328</v>
      </c>
      <c r="D812" t="s">
        <v>10710</v>
      </c>
      <c r="E812" t="s">
        <v>10763</v>
      </c>
      <c r="F812" t="s">
        <v>10712</v>
      </c>
      <c r="G812" t="s">
        <v>10764</v>
      </c>
      <c r="H812">
        <v>-2.25</v>
      </c>
      <c r="I812">
        <v>-1.25</v>
      </c>
      <c r="J812">
        <v>180</v>
      </c>
      <c r="L812" t="s">
        <v>7330</v>
      </c>
      <c r="M812" t="s">
        <v>7330</v>
      </c>
      <c r="N812" s="501">
        <v>13291</v>
      </c>
      <c r="P812">
        <v>0</v>
      </c>
      <c r="Q812" s="501">
        <v>13291</v>
      </c>
      <c r="R812" t="s">
        <v>10714</v>
      </c>
      <c r="S812">
        <v>0</v>
      </c>
    </row>
    <row r="813" spans="1:19">
      <c r="A813" t="s">
        <v>9201</v>
      </c>
      <c r="B813">
        <v>103</v>
      </c>
      <c r="C813" t="s">
        <v>7328</v>
      </c>
      <c r="D813" t="s">
        <v>10710</v>
      </c>
      <c r="E813" t="s">
        <v>10765</v>
      </c>
      <c r="F813" t="s">
        <v>10712</v>
      </c>
      <c r="G813" t="s">
        <v>10766</v>
      </c>
      <c r="H813">
        <v>-2.25</v>
      </c>
      <c r="I813">
        <v>-1.75</v>
      </c>
      <c r="J813">
        <v>180</v>
      </c>
      <c r="L813" t="s">
        <v>7330</v>
      </c>
      <c r="M813" t="s">
        <v>7330</v>
      </c>
      <c r="N813" s="501">
        <v>9583</v>
      </c>
      <c r="P813">
        <v>0</v>
      </c>
      <c r="Q813" s="501">
        <v>9583</v>
      </c>
      <c r="R813" t="s">
        <v>10714</v>
      </c>
      <c r="S813">
        <v>0</v>
      </c>
    </row>
    <row r="814" spans="1:19">
      <c r="A814" t="s">
        <v>9201</v>
      </c>
      <c r="B814">
        <v>103</v>
      </c>
      <c r="C814" t="s">
        <v>7328</v>
      </c>
      <c r="D814" t="s">
        <v>10710</v>
      </c>
      <c r="E814" t="s">
        <v>10767</v>
      </c>
      <c r="F814" t="s">
        <v>10712</v>
      </c>
      <c r="G814" t="s">
        <v>10768</v>
      </c>
      <c r="H814">
        <v>-2.5</v>
      </c>
      <c r="I814">
        <v>-0.75</v>
      </c>
      <c r="J814">
        <v>180</v>
      </c>
      <c r="L814" t="s">
        <v>7330</v>
      </c>
      <c r="M814" t="s">
        <v>7330</v>
      </c>
      <c r="N814" s="501">
        <v>5698</v>
      </c>
      <c r="P814">
        <v>0</v>
      </c>
      <c r="Q814" s="501">
        <v>5698</v>
      </c>
      <c r="R814" t="s">
        <v>10714</v>
      </c>
      <c r="S814">
        <v>0</v>
      </c>
    </row>
    <row r="815" spans="1:19">
      <c r="A815" t="s">
        <v>9201</v>
      </c>
      <c r="B815">
        <v>103</v>
      </c>
      <c r="C815" t="s">
        <v>7328</v>
      </c>
      <c r="D815" t="s">
        <v>10710</v>
      </c>
      <c r="E815" t="s">
        <v>10769</v>
      </c>
      <c r="F815" t="s">
        <v>10712</v>
      </c>
      <c r="G815" t="s">
        <v>10770</v>
      </c>
      <c r="H815">
        <v>-2.5</v>
      </c>
      <c r="I815">
        <v>-1.25</v>
      </c>
      <c r="J815">
        <v>180</v>
      </c>
      <c r="L815" t="s">
        <v>7330</v>
      </c>
      <c r="M815" t="s">
        <v>7330</v>
      </c>
      <c r="N815" s="501">
        <v>13363</v>
      </c>
      <c r="O815" s="501"/>
      <c r="P815">
        <v>0</v>
      </c>
      <c r="Q815" s="501">
        <v>13363</v>
      </c>
      <c r="R815" t="s">
        <v>10714</v>
      </c>
      <c r="S815">
        <v>0</v>
      </c>
    </row>
    <row r="816" spans="1:19">
      <c r="A816" t="s">
        <v>9201</v>
      </c>
      <c r="B816">
        <v>103</v>
      </c>
      <c r="C816" t="s">
        <v>7328</v>
      </c>
      <c r="D816" t="s">
        <v>10710</v>
      </c>
      <c r="E816" t="s">
        <v>10771</v>
      </c>
      <c r="F816" t="s">
        <v>10712</v>
      </c>
      <c r="G816" t="s">
        <v>10772</v>
      </c>
      <c r="H816">
        <v>-2.5</v>
      </c>
      <c r="I816">
        <v>-1.75</v>
      </c>
      <c r="J816">
        <v>180</v>
      </c>
      <c r="L816" t="s">
        <v>7330</v>
      </c>
      <c r="M816" t="s">
        <v>7330</v>
      </c>
      <c r="N816" s="501">
        <v>6565</v>
      </c>
      <c r="P816">
        <v>0</v>
      </c>
      <c r="Q816" s="501">
        <v>6565</v>
      </c>
      <c r="R816" t="s">
        <v>10714</v>
      </c>
      <c r="S816">
        <v>0</v>
      </c>
    </row>
    <row r="817" spans="1:19">
      <c r="A817" t="s">
        <v>9201</v>
      </c>
      <c r="B817">
        <v>103</v>
      </c>
      <c r="C817" t="s">
        <v>7328</v>
      </c>
      <c r="D817" t="s">
        <v>10710</v>
      </c>
      <c r="E817" t="s">
        <v>10773</v>
      </c>
      <c r="F817" t="s">
        <v>10712</v>
      </c>
      <c r="G817" t="s">
        <v>10774</v>
      </c>
      <c r="H817">
        <v>-2.75</v>
      </c>
      <c r="I817">
        <v>-0.75</v>
      </c>
      <c r="J817">
        <v>180</v>
      </c>
      <c r="L817" t="s">
        <v>7330</v>
      </c>
      <c r="M817" t="s">
        <v>7330</v>
      </c>
      <c r="N817" s="501">
        <v>8417</v>
      </c>
      <c r="P817">
        <v>0</v>
      </c>
      <c r="Q817" s="501">
        <v>8417</v>
      </c>
      <c r="R817" t="s">
        <v>10714</v>
      </c>
      <c r="S817">
        <v>0</v>
      </c>
    </row>
    <row r="818" spans="1:19">
      <c r="A818" t="s">
        <v>9201</v>
      </c>
      <c r="B818">
        <v>103</v>
      </c>
      <c r="C818" t="s">
        <v>7328</v>
      </c>
      <c r="D818" t="s">
        <v>10710</v>
      </c>
      <c r="E818" t="s">
        <v>10775</v>
      </c>
      <c r="F818" t="s">
        <v>10712</v>
      </c>
      <c r="G818" t="s">
        <v>10776</v>
      </c>
      <c r="H818">
        <v>-2.75</v>
      </c>
      <c r="I818">
        <v>-1.25</v>
      </c>
      <c r="J818">
        <v>180</v>
      </c>
      <c r="L818" t="s">
        <v>7330</v>
      </c>
      <c r="M818" t="s">
        <v>7330</v>
      </c>
      <c r="N818" s="501">
        <v>7382</v>
      </c>
      <c r="O818" s="501"/>
      <c r="P818">
        <v>0</v>
      </c>
      <c r="Q818" s="501">
        <v>7382</v>
      </c>
      <c r="R818" t="s">
        <v>10714</v>
      </c>
      <c r="S818">
        <v>0</v>
      </c>
    </row>
    <row r="819" spans="1:19">
      <c r="A819" t="s">
        <v>9201</v>
      </c>
      <c r="B819">
        <v>103</v>
      </c>
      <c r="C819" t="s">
        <v>7328</v>
      </c>
      <c r="D819" t="s">
        <v>10710</v>
      </c>
      <c r="E819" t="s">
        <v>10777</v>
      </c>
      <c r="F819" t="s">
        <v>10712</v>
      </c>
      <c r="G819" t="s">
        <v>10778</v>
      </c>
      <c r="H819">
        <v>-2.75</v>
      </c>
      <c r="I819">
        <v>-1.75</v>
      </c>
      <c r="J819">
        <v>180</v>
      </c>
      <c r="L819" t="s">
        <v>7330</v>
      </c>
      <c r="M819" t="s">
        <v>7330</v>
      </c>
      <c r="N819" s="501">
        <v>9921</v>
      </c>
      <c r="P819">
        <v>30</v>
      </c>
      <c r="Q819" s="501">
        <v>9891</v>
      </c>
      <c r="R819" t="s">
        <v>10714</v>
      </c>
      <c r="S819">
        <v>0</v>
      </c>
    </row>
    <row r="820" spans="1:19">
      <c r="A820" t="s">
        <v>9201</v>
      </c>
      <c r="B820">
        <v>103</v>
      </c>
      <c r="C820" t="s">
        <v>7328</v>
      </c>
      <c r="D820" t="s">
        <v>10710</v>
      </c>
      <c r="E820" t="s">
        <v>10779</v>
      </c>
      <c r="F820" t="s">
        <v>10712</v>
      </c>
      <c r="G820" t="s">
        <v>10780</v>
      </c>
      <c r="H820">
        <v>-3</v>
      </c>
      <c r="I820">
        <v>-0.75</v>
      </c>
      <c r="J820">
        <v>180</v>
      </c>
      <c r="L820" t="s">
        <v>7330</v>
      </c>
      <c r="M820" t="s">
        <v>7330</v>
      </c>
      <c r="N820" s="501">
        <v>8037</v>
      </c>
      <c r="P820">
        <v>0</v>
      </c>
      <c r="Q820" s="501">
        <v>8037</v>
      </c>
      <c r="R820" t="s">
        <v>10714</v>
      </c>
      <c r="S820">
        <v>0</v>
      </c>
    </row>
    <row r="821" spans="1:19">
      <c r="A821" t="s">
        <v>9201</v>
      </c>
      <c r="B821">
        <v>103</v>
      </c>
      <c r="C821" t="s">
        <v>7328</v>
      </c>
      <c r="D821" t="s">
        <v>10710</v>
      </c>
      <c r="E821" t="s">
        <v>10781</v>
      </c>
      <c r="F821" t="s">
        <v>10712</v>
      </c>
      <c r="G821" t="s">
        <v>10782</v>
      </c>
      <c r="H821">
        <v>-3</v>
      </c>
      <c r="I821">
        <v>-1.25</v>
      </c>
      <c r="J821">
        <v>180</v>
      </c>
      <c r="L821" t="s">
        <v>7330</v>
      </c>
      <c r="M821" t="s">
        <v>7330</v>
      </c>
      <c r="N821" s="501">
        <v>10995</v>
      </c>
      <c r="P821">
        <v>0</v>
      </c>
      <c r="Q821" s="501">
        <v>10995</v>
      </c>
      <c r="R821" t="s">
        <v>10714</v>
      </c>
      <c r="S821">
        <v>0</v>
      </c>
    </row>
    <row r="822" spans="1:19">
      <c r="A822" t="s">
        <v>9201</v>
      </c>
      <c r="B822">
        <v>103</v>
      </c>
      <c r="C822" t="s">
        <v>7328</v>
      </c>
      <c r="D822" t="s">
        <v>10710</v>
      </c>
      <c r="E822" t="s">
        <v>10783</v>
      </c>
      <c r="F822" t="s">
        <v>10712</v>
      </c>
      <c r="G822" t="s">
        <v>10784</v>
      </c>
      <c r="H822">
        <v>-3</v>
      </c>
      <c r="I822">
        <v>-1.75</v>
      </c>
      <c r="J822">
        <v>180</v>
      </c>
      <c r="L822" t="s">
        <v>7330</v>
      </c>
      <c r="M822" t="s">
        <v>7330</v>
      </c>
      <c r="N822" s="501">
        <v>12555</v>
      </c>
      <c r="P822">
        <v>0</v>
      </c>
      <c r="Q822" s="501">
        <v>12555</v>
      </c>
      <c r="R822" t="s">
        <v>10714</v>
      </c>
      <c r="S822">
        <v>0</v>
      </c>
    </row>
    <row r="823" spans="1:19">
      <c r="A823" t="s">
        <v>9201</v>
      </c>
      <c r="B823">
        <v>103</v>
      </c>
      <c r="C823" t="s">
        <v>7328</v>
      </c>
      <c r="D823" t="s">
        <v>10710</v>
      </c>
      <c r="E823" t="s">
        <v>10785</v>
      </c>
      <c r="F823" t="s">
        <v>10712</v>
      </c>
      <c r="G823" t="s">
        <v>10786</v>
      </c>
      <c r="H823">
        <v>-3.25</v>
      </c>
      <c r="I823">
        <v>-0.75</v>
      </c>
      <c r="J823">
        <v>180</v>
      </c>
      <c r="L823" t="s">
        <v>7330</v>
      </c>
      <c r="M823" t="s">
        <v>7330</v>
      </c>
      <c r="N823" s="501">
        <v>7858</v>
      </c>
      <c r="O823" s="501"/>
      <c r="P823">
        <v>0</v>
      </c>
      <c r="Q823" s="501">
        <v>7858</v>
      </c>
      <c r="R823" t="s">
        <v>10714</v>
      </c>
      <c r="S823">
        <v>0</v>
      </c>
    </row>
    <row r="824" spans="1:19">
      <c r="A824" t="s">
        <v>9201</v>
      </c>
      <c r="B824">
        <v>103</v>
      </c>
      <c r="C824" t="s">
        <v>7328</v>
      </c>
      <c r="D824" t="s">
        <v>10710</v>
      </c>
      <c r="E824" t="s">
        <v>10787</v>
      </c>
      <c r="F824" t="s">
        <v>10712</v>
      </c>
      <c r="G824" t="s">
        <v>10788</v>
      </c>
      <c r="H824">
        <v>-3.25</v>
      </c>
      <c r="I824">
        <v>-1.25</v>
      </c>
      <c r="J824">
        <v>180</v>
      </c>
      <c r="L824" t="s">
        <v>7330</v>
      </c>
      <c r="M824" t="s">
        <v>7330</v>
      </c>
      <c r="N824" s="501">
        <v>8969</v>
      </c>
      <c r="P824">
        <v>0</v>
      </c>
      <c r="Q824" s="501">
        <v>8969</v>
      </c>
      <c r="R824" t="s">
        <v>10714</v>
      </c>
      <c r="S824">
        <v>0</v>
      </c>
    </row>
    <row r="825" spans="1:19">
      <c r="A825" t="s">
        <v>9201</v>
      </c>
      <c r="B825">
        <v>103</v>
      </c>
      <c r="C825" t="s">
        <v>7328</v>
      </c>
      <c r="D825" t="s">
        <v>10710</v>
      </c>
      <c r="E825" t="s">
        <v>10789</v>
      </c>
      <c r="F825" t="s">
        <v>10712</v>
      </c>
      <c r="G825" t="s">
        <v>10790</v>
      </c>
      <c r="H825">
        <v>-3.25</v>
      </c>
      <c r="I825">
        <v>-1.75</v>
      </c>
      <c r="J825">
        <v>180</v>
      </c>
      <c r="L825" t="s">
        <v>7330</v>
      </c>
      <c r="M825" t="s">
        <v>7330</v>
      </c>
      <c r="N825" s="501">
        <v>10955</v>
      </c>
      <c r="P825">
        <v>0</v>
      </c>
      <c r="Q825" s="501">
        <v>10955</v>
      </c>
      <c r="R825" t="s">
        <v>10714</v>
      </c>
      <c r="S825">
        <v>0</v>
      </c>
    </row>
    <row r="826" spans="1:19">
      <c r="A826" t="s">
        <v>9201</v>
      </c>
      <c r="B826">
        <v>103</v>
      </c>
      <c r="C826" t="s">
        <v>7328</v>
      </c>
      <c r="D826" t="s">
        <v>10710</v>
      </c>
      <c r="E826" t="s">
        <v>10791</v>
      </c>
      <c r="F826" t="s">
        <v>10712</v>
      </c>
      <c r="G826" t="s">
        <v>10792</v>
      </c>
      <c r="H826">
        <v>-3.5</v>
      </c>
      <c r="I826">
        <v>-0.75</v>
      </c>
      <c r="J826">
        <v>180</v>
      </c>
      <c r="L826" t="s">
        <v>7330</v>
      </c>
      <c r="M826" t="s">
        <v>7330</v>
      </c>
      <c r="N826" s="501">
        <v>7203</v>
      </c>
      <c r="P826">
        <v>0</v>
      </c>
      <c r="Q826" s="501">
        <v>7203</v>
      </c>
      <c r="R826" t="s">
        <v>10714</v>
      </c>
      <c r="S826">
        <v>0</v>
      </c>
    </row>
    <row r="827" spans="1:19">
      <c r="A827" t="s">
        <v>9201</v>
      </c>
      <c r="B827">
        <v>103</v>
      </c>
      <c r="C827" t="s">
        <v>7328</v>
      </c>
      <c r="D827" t="s">
        <v>10710</v>
      </c>
      <c r="E827" t="s">
        <v>10793</v>
      </c>
      <c r="F827" t="s">
        <v>10712</v>
      </c>
      <c r="G827" t="s">
        <v>10794</v>
      </c>
      <c r="H827">
        <v>-3.5</v>
      </c>
      <c r="I827">
        <v>-1.25</v>
      </c>
      <c r="J827">
        <v>180</v>
      </c>
      <c r="L827" t="s">
        <v>7330</v>
      </c>
      <c r="M827" t="s">
        <v>7330</v>
      </c>
      <c r="N827" s="501">
        <v>8663</v>
      </c>
      <c r="P827">
        <v>0</v>
      </c>
      <c r="Q827" s="501">
        <v>8663</v>
      </c>
      <c r="R827" t="s">
        <v>10714</v>
      </c>
      <c r="S827">
        <v>0</v>
      </c>
    </row>
    <row r="828" spans="1:19">
      <c r="A828" t="s">
        <v>9201</v>
      </c>
      <c r="B828">
        <v>103</v>
      </c>
      <c r="C828" t="s">
        <v>7328</v>
      </c>
      <c r="D828" t="s">
        <v>10710</v>
      </c>
      <c r="E828" t="s">
        <v>10795</v>
      </c>
      <c r="F828" t="s">
        <v>10712</v>
      </c>
      <c r="G828" t="s">
        <v>10796</v>
      </c>
      <c r="H828">
        <v>-3.5</v>
      </c>
      <c r="I828">
        <v>-1.75</v>
      </c>
      <c r="J828">
        <v>180</v>
      </c>
      <c r="L828" t="s">
        <v>7330</v>
      </c>
      <c r="M828" t="s">
        <v>7330</v>
      </c>
      <c r="N828" s="501">
        <v>11452</v>
      </c>
      <c r="P828">
        <v>0</v>
      </c>
      <c r="Q828" s="501">
        <v>11452</v>
      </c>
      <c r="R828" t="s">
        <v>10714</v>
      </c>
      <c r="S828">
        <v>0</v>
      </c>
    </row>
    <row r="829" spans="1:19">
      <c r="A829" t="s">
        <v>9201</v>
      </c>
      <c r="B829">
        <v>103</v>
      </c>
      <c r="C829" t="s">
        <v>7328</v>
      </c>
      <c r="D829" t="s">
        <v>10710</v>
      </c>
      <c r="E829" t="s">
        <v>10797</v>
      </c>
      <c r="F829" t="s">
        <v>10712</v>
      </c>
      <c r="G829" t="s">
        <v>10798</v>
      </c>
      <c r="H829">
        <v>-3.75</v>
      </c>
      <c r="I829">
        <v>-0.75</v>
      </c>
      <c r="J829">
        <v>180</v>
      </c>
      <c r="L829" t="s">
        <v>7330</v>
      </c>
      <c r="M829" t="s">
        <v>7330</v>
      </c>
      <c r="N829" s="501">
        <v>7560</v>
      </c>
      <c r="P829">
        <v>0</v>
      </c>
      <c r="Q829" s="501">
        <v>7560</v>
      </c>
      <c r="R829" t="s">
        <v>10714</v>
      </c>
      <c r="S829">
        <v>0</v>
      </c>
    </row>
    <row r="830" spans="1:19">
      <c r="A830" t="s">
        <v>9201</v>
      </c>
      <c r="B830">
        <v>103</v>
      </c>
      <c r="C830" t="s">
        <v>7328</v>
      </c>
      <c r="D830" t="s">
        <v>10710</v>
      </c>
      <c r="E830" t="s">
        <v>10799</v>
      </c>
      <c r="F830" t="s">
        <v>10712</v>
      </c>
      <c r="G830" t="s">
        <v>10800</v>
      </c>
      <c r="H830">
        <v>-3.75</v>
      </c>
      <c r="I830">
        <v>-1.25</v>
      </c>
      <c r="J830">
        <v>180</v>
      </c>
      <c r="L830" t="s">
        <v>7330</v>
      </c>
      <c r="M830" t="s">
        <v>7330</v>
      </c>
      <c r="N830" s="501">
        <v>8361</v>
      </c>
      <c r="P830">
        <v>0</v>
      </c>
      <c r="Q830" s="501">
        <v>8361</v>
      </c>
      <c r="R830" t="s">
        <v>10714</v>
      </c>
      <c r="S830">
        <v>0</v>
      </c>
    </row>
    <row r="831" spans="1:19">
      <c r="A831" t="s">
        <v>9201</v>
      </c>
      <c r="B831">
        <v>103</v>
      </c>
      <c r="C831" t="s">
        <v>7328</v>
      </c>
      <c r="D831" t="s">
        <v>10710</v>
      </c>
      <c r="E831" t="s">
        <v>10801</v>
      </c>
      <c r="F831" t="s">
        <v>10712</v>
      </c>
      <c r="G831" t="s">
        <v>10802</v>
      </c>
      <c r="H831">
        <v>-3.75</v>
      </c>
      <c r="I831">
        <v>-1.75</v>
      </c>
      <c r="J831">
        <v>180</v>
      </c>
      <c r="L831" t="s">
        <v>7330</v>
      </c>
      <c r="M831" t="s">
        <v>7330</v>
      </c>
      <c r="N831" s="501">
        <v>10016</v>
      </c>
      <c r="P831">
        <v>0</v>
      </c>
      <c r="Q831" s="501">
        <v>10016</v>
      </c>
      <c r="R831" t="s">
        <v>10714</v>
      </c>
      <c r="S831">
        <v>0</v>
      </c>
    </row>
    <row r="832" spans="1:19">
      <c r="A832" t="s">
        <v>9201</v>
      </c>
      <c r="B832">
        <v>103</v>
      </c>
      <c r="C832" t="s">
        <v>7328</v>
      </c>
      <c r="D832" t="s">
        <v>10710</v>
      </c>
      <c r="E832" t="s">
        <v>10803</v>
      </c>
      <c r="F832" t="s">
        <v>10712</v>
      </c>
      <c r="G832" t="s">
        <v>10804</v>
      </c>
      <c r="H832">
        <v>-4</v>
      </c>
      <c r="I832">
        <v>-0.75</v>
      </c>
      <c r="J832">
        <v>180</v>
      </c>
      <c r="L832" t="s">
        <v>7330</v>
      </c>
      <c r="M832" t="s">
        <v>7330</v>
      </c>
      <c r="N832" s="501">
        <v>9024</v>
      </c>
      <c r="P832">
        <v>0</v>
      </c>
      <c r="Q832" s="501">
        <v>9024</v>
      </c>
      <c r="R832" t="s">
        <v>10714</v>
      </c>
      <c r="S832">
        <v>0</v>
      </c>
    </row>
    <row r="833" spans="1:19">
      <c r="A833" t="s">
        <v>9201</v>
      </c>
      <c r="B833">
        <v>103</v>
      </c>
      <c r="C833" t="s">
        <v>7328</v>
      </c>
      <c r="D833" t="s">
        <v>10710</v>
      </c>
      <c r="E833" t="s">
        <v>10805</v>
      </c>
      <c r="F833" t="s">
        <v>10712</v>
      </c>
      <c r="G833" t="s">
        <v>10806</v>
      </c>
      <c r="H833">
        <v>-4</v>
      </c>
      <c r="I833">
        <v>-1.25</v>
      </c>
      <c r="J833">
        <v>180</v>
      </c>
      <c r="L833" t="s">
        <v>7330</v>
      </c>
      <c r="M833" t="s">
        <v>7330</v>
      </c>
      <c r="N833" s="501">
        <v>9776</v>
      </c>
      <c r="P833">
        <v>0</v>
      </c>
      <c r="Q833" s="501">
        <v>9776</v>
      </c>
      <c r="R833" t="s">
        <v>10714</v>
      </c>
      <c r="S833">
        <v>0</v>
      </c>
    </row>
    <row r="834" spans="1:19">
      <c r="A834" t="s">
        <v>9201</v>
      </c>
      <c r="B834">
        <v>103</v>
      </c>
      <c r="C834" t="s">
        <v>7328</v>
      </c>
      <c r="D834" t="s">
        <v>10710</v>
      </c>
      <c r="E834" t="s">
        <v>10807</v>
      </c>
      <c r="F834" t="s">
        <v>10712</v>
      </c>
      <c r="G834" t="s">
        <v>10808</v>
      </c>
      <c r="H834">
        <v>-4</v>
      </c>
      <c r="I834">
        <v>-1.75</v>
      </c>
      <c r="J834">
        <v>180</v>
      </c>
      <c r="L834" t="s">
        <v>7330</v>
      </c>
      <c r="M834" t="s">
        <v>7330</v>
      </c>
      <c r="N834" s="501">
        <v>10251</v>
      </c>
      <c r="P834">
        <v>0</v>
      </c>
      <c r="Q834" s="501">
        <v>10251</v>
      </c>
      <c r="R834" t="s">
        <v>10714</v>
      </c>
      <c r="S834">
        <v>0</v>
      </c>
    </row>
    <row r="835" spans="1:19">
      <c r="A835" t="s">
        <v>9201</v>
      </c>
      <c r="B835">
        <v>103</v>
      </c>
      <c r="C835" t="s">
        <v>7328</v>
      </c>
      <c r="D835" t="s">
        <v>10710</v>
      </c>
      <c r="E835" t="s">
        <v>10809</v>
      </c>
      <c r="F835" t="s">
        <v>10712</v>
      </c>
      <c r="G835" t="s">
        <v>10810</v>
      </c>
      <c r="H835">
        <v>-4.25</v>
      </c>
      <c r="I835">
        <v>-0.75</v>
      </c>
      <c r="J835">
        <v>180</v>
      </c>
      <c r="L835" t="s">
        <v>7330</v>
      </c>
      <c r="M835" t="s">
        <v>7330</v>
      </c>
      <c r="N835" s="501">
        <v>5052</v>
      </c>
      <c r="P835">
        <v>0</v>
      </c>
      <c r="Q835" s="501">
        <v>5052</v>
      </c>
      <c r="R835" t="s">
        <v>10714</v>
      </c>
      <c r="S835">
        <v>0</v>
      </c>
    </row>
    <row r="836" spans="1:19">
      <c r="A836" t="s">
        <v>9201</v>
      </c>
      <c r="B836">
        <v>103</v>
      </c>
      <c r="C836" t="s">
        <v>7328</v>
      </c>
      <c r="D836" t="s">
        <v>10710</v>
      </c>
      <c r="E836" t="s">
        <v>10811</v>
      </c>
      <c r="F836" t="s">
        <v>10712</v>
      </c>
      <c r="G836" t="s">
        <v>10812</v>
      </c>
      <c r="H836">
        <v>-4.25</v>
      </c>
      <c r="I836">
        <v>-1.25</v>
      </c>
      <c r="J836">
        <v>180</v>
      </c>
      <c r="L836" t="s">
        <v>7330</v>
      </c>
      <c r="M836" t="s">
        <v>7330</v>
      </c>
      <c r="N836" s="501">
        <v>11423</v>
      </c>
      <c r="P836">
        <v>0</v>
      </c>
      <c r="Q836" s="501">
        <v>11423</v>
      </c>
      <c r="R836" t="s">
        <v>10714</v>
      </c>
      <c r="S836">
        <v>0</v>
      </c>
    </row>
    <row r="837" spans="1:19">
      <c r="A837" t="s">
        <v>9201</v>
      </c>
      <c r="B837">
        <v>103</v>
      </c>
      <c r="C837" t="s">
        <v>7328</v>
      </c>
      <c r="D837" t="s">
        <v>10710</v>
      </c>
      <c r="E837" t="s">
        <v>10813</v>
      </c>
      <c r="F837" t="s">
        <v>10712</v>
      </c>
      <c r="G837" t="s">
        <v>10814</v>
      </c>
      <c r="H837">
        <v>-4.25</v>
      </c>
      <c r="I837">
        <v>-1.75</v>
      </c>
      <c r="J837">
        <v>180</v>
      </c>
      <c r="L837" t="s">
        <v>7330</v>
      </c>
      <c r="M837" t="s">
        <v>7330</v>
      </c>
      <c r="N837" s="501">
        <v>15336</v>
      </c>
      <c r="P837">
        <v>0</v>
      </c>
      <c r="Q837" s="501">
        <v>15336</v>
      </c>
      <c r="R837" t="s">
        <v>10714</v>
      </c>
      <c r="S837">
        <v>0</v>
      </c>
    </row>
    <row r="838" spans="1:19">
      <c r="A838" t="s">
        <v>9201</v>
      </c>
      <c r="B838">
        <v>103</v>
      </c>
      <c r="C838" t="s">
        <v>7328</v>
      </c>
      <c r="D838" t="s">
        <v>10710</v>
      </c>
      <c r="E838" t="s">
        <v>10815</v>
      </c>
      <c r="F838" t="s">
        <v>10712</v>
      </c>
      <c r="G838" t="s">
        <v>10816</v>
      </c>
      <c r="H838">
        <v>-4.5</v>
      </c>
      <c r="I838">
        <v>-0.75</v>
      </c>
      <c r="J838">
        <v>180</v>
      </c>
      <c r="L838" t="s">
        <v>7330</v>
      </c>
      <c r="M838" t="s">
        <v>7330</v>
      </c>
      <c r="N838" s="501">
        <v>10965</v>
      </c>
      <c r="P838">
        <v>0</v>
      </c>
      <c r="Q838" s="501">
        <v>10965</v>
      </c>
      <c r="R838" t="s">
        <v>10714</v>
      </c>
      <c r="S838">
        <v>0</v>
      </c>
    </row>
    <row r="839" spans="1:19">
      <c r="A839" t="s">
        <v>9201</v>
      </c>
      <c r="B839">
        <v>103</v>
      </c>
      <c r="C839" t="s">
        <v>7328</v>
      </c>
      <c r="D839" t="s">
        <v>10710</v>
      </c>
      <c r="E839" t="s">
        <v>10817</v>
      </c>
      <c r="F839" t="s">
        <v>10712</v>
      </c>
      <c r="G839" t="s">
        <v>10818</v>
      </c>
      <c r="H839">
        <v>-4.5</v>
      </c>
      <c r="I839">
        <v>-1.25</v>
      </c>
      <c r="J839">
        <v>180</v>
      </c>
      <c r="L839" t="s">
        <v>7330</v>
      </c>
      <c r="M839" t="s">
        <v>7330</v>
      </c>
      <c r="N839" s="501">
        <v>12637</v>
      </c>
      <c r="P839">
        <v>0</v>
      </c>
      <c r="Q839" s="501">
        <v>12637</v>
      </c>
      <c r="R839" t="s">
        <v>10714</v>
      </c>
      <c r="S839">
        <v>0</v>
      </c>
    </row>
    <row r="840" spans="1:19">
      <c r="A840" t="s">
        <v>9201</v>
      </c>
      <c r="B840">
        <v>103</v>
      </c>
      <c r="C840" t="s">
        <v>7328</v>
      </c>
      <c r="D840" t="s">
        <v>10710</v>
      </c>
      <c r="E840" t="s">
        <v>10819</v>
      </c>
      <c r="F840" t="s">
        <v>10712</v>
      </c>
      <c r="G840" t="s">
        <v>10820</v>
      </c>
      <c r="H840">
        <v>-4.5</v>
      </c>
      <c r="I840">
        <v>-1.75</v>
      </c>
      <c r="J840">
        <v>180</v>
      </c>
      <c r="L840" t="s">
        <v>7330</v>
      </c>
      <c r="M840" t="s">
        <v>7330</v>
      </c>
      <c r="N840" s="501">
        <v>14898</v>
      </c>
      <c r="P840">
        <v>0</v>
      </c>
      <c r="Q840" s="501">
        <v>14898</v>
      </c>
      <c r="R840" t="s">
        <v>10714</v>
      </c>
      <c r="S840">
        <v>0</v>
      </c>
    </row>
    <row r="841" spans="1:19">
      <c r="A841" t="s">
        <v>9201</v>
      </c>
      <c r="B841">
        <v>103</v>
      </c>
      <c r="C841" t="s">
        <v>7328</v>
      </c>
      <c r="D841" t="s">
        <v>10710</v>
      </c>
      <c r="E841" t="s">
        <v>10821</v>
      </c>
      <c r="F841" t="s">
        <v>10712</v>
      </c>
      <c r="G841" t="s">
        <v>10822</v>
      </c>
      <c r="H841">
        <v>-4.75</v>
      </c>
      <c r="I841">
        <v>-0.75</v>
      </c>
      <c r="J841">
        <v>180</v>
      </c>
      <c r="L841" t="s">
        <v>7330</v>
      </c>
      <c r="M841" t="s">
        <v>7330</v>
      </c>
      <c r="N841" s="501">
        <v>7749</v>
      </c>
      <c r="P841">
        <v>0</v>
      </c>
      <c r="Q841" s="501">
        <v>7749</v>
      </c>
      <c r="R841" t="s">
        <v>10714</v>
      </c>
      <c r="S841">
        <v>0</v>
      </c>
    </row>
    <row r="842" spans="1:19">
      <c r="A842" t="s">
        <v>9201</v>
      </c>
      <c r="B842">
        <v>103</v>
      </c>
      <c r="C842" t="s">
        <v>7328</v>
      </c>
      <c r="D842" t="s">
        <v>10710</v>
      </c>
      <c r="E842" t="s">
        <v>10823</v>
      </c>
      <c r="F842" t="s">
        <v>10712</v>
      </c>
      <c r="G842" t="s">
        <v>10824</v>
      </c>
      <c r="H842">
        <v>-4.75</v>
      </c>
      <c r="I842">
        <v>-1.25</v>
      </c>
      <c r="J842">
        <v>180</v>
      </c>
      <c r="L842" t="s">
        <v>7330</v>
      </c>
      <c r="M842" t="s">
        <v>7330</v>
      </c>
      <c r="N842" s="501">
        <v>12808</v>
      </c>
      <c r="P842">
        <v>0</v>
      </c>
      <c r="Q842" s="501">
        <v>12808</v>
      </c>
      <c r="R842" t="s">
        <v>10714</v>
      </c>
      <c r="S842">
        <v>0</v>
      </c>
    </row>
    <row r="843" spans="1:19">
      <c r="A843" t="s">
        <v>9201</v>
      </c>
      <c r="B843">
        <v>103</v>
      </c>
      <c r="C843" t="s">
        <v>7328</v>
      </c>
      <c r="D843" t="s">
        <v>10710</v>
      </c>
      <c r="E843" t="s">
        <v>10825</v>
      </c>
      <c r="F843" t="s">
        <v>10712</v>
      </c>
      <c r="G843" t="s">
        <v>10826</v>
      </c>
      <c r="H843">
        <v>-4.75</v>
      </c>
      <c r="I843">
        <v>-1.75</v>
      </c>
      <c r="J843">
        <v>180</v>
      </c>
      <c r="L843" t="s">
        <v>7330</v>
      </c>
      <c r="M843" t="s">
        <v>7330</v>
      </c>
      <c r="N843" s="501">
        <v>10160</v>
      </c>
      <c r="P843">
        <v>0</v>
      </c>
      <c r="Q843" s="501">
        <v>10160</v>
      </c>
      <c r="R843" t="s">
        <v>10714</v>
      </c>
      <c r="S843">
        <v>0</v>
      </c>
    </row>
    <row r="844" spans="1:19">
      <c r="A844" t="s">
        <v>9201</v>
      </c>
      <c r="B844">
        <v>103</v>
      </c>
      <c r="C844" t="s">
        <v>7328</v>
      </c>
      <c r="D844" t="s">
        <v>10710</v>
      </c>
      <c r="E844" t="s">
        <v>10827</v>
      </c>
      <c r="F844" t="s">
        <v>10712</v>
      </c>
      <c r="G844" t="s">
        <v>10828</v>
      </c>
      <c r="H844">
        <v>-5</v>
      </c>
      <c r="I844">
        <v>-0.75</v>
      </c>
      <c r="J844">
        <v>180</v>
      </c>
      <c r="L844" t="s">
        <v>7330</v>
      </c>
      <c r="M844" t="s">
        <v>7330</v>
      </c>
      <c r="N844" s="501">
        <v>7225</v>
      </c>
      <c r="P844">
        <v>0</v>
      </c>
      <c r="Q844" s="501">
        <v>7225</v>
      </c>
      <c r="R844" t="s">
        <v>10714</v>
      </c>
      <c r="S844">
        <v>0</v>
      </c>
    </row>
    <row r="845" spans="1:19">
      <c r="A845" t="s">
        <v>9201</v>
      </c>
      <c r="B845">
        <v>103</v>
      </c>
      <c r="C845" t="s">
        <v>7328</v>
      </c>
      <c r="D845" t="s">
        <v>10710</v>
      </c>
      <c r="E845" t="s">
        <v>10829</v>
      </c>
      <c r="F845" t="s">
        <v>10712</v>
      </c>
      <c r="G845" t="s">
        <v>10830</v>
      </c>
      <c r="H845">
        <v>-5</v>
      </c>
      <c r="I845">
        <v>-1.25</v>
      </c>
      <c r="J845">
        <v>180</v>
      </c>
      <c r="L845" t="s">
        <v>7330</v>
      </c>
      <c r="M845" t="s">
        <v>7330</v>
      </c>
      <c r="N845" s="501">
        <v>13146</v>
      </c>
      <c r="P845">
        <v>0</v>
      </c>
      <c r="Q845" s="501">
        <v>13146</v>
      </c>
      <c r="R845" t="s">
        <v>10714</v>
      </c>
      <c r="S845">
        <v>0</v>
      </c>
    </row>
    <row r="846" spans="1:19">
      <c r="A846" t="s">
        <v>9201</v>
      </c>
      <c r="B846">
        <v>103</v>
      </c>
      <c r="C846" t="s">
        <v>7328</v>
      </c>
      <c r="D846" t="s">
        <v>10710</v>
      </c>
      <c r="E846" t="s">
        <v>10831</v>
      </c>
      <c r="F846" t="s">
        <v>10712</v>
      </c>
      <c r="G846" t="s">
        <v>10832</v>
      </c>
      <c r="H846">
        <v>-5</v>
      </c>
      <c r="I846">
        <v>-1.75</v>
      </c>
      <c r="J846">
        <v>180</v>
      </c>
      <c r="L846" t="s">
        <v>7330</v>
      </c>
      <c r="M846" t="s">
        <v>7330</v>
      </c>
      <c r="N846" s="501">
        <v>8612</v>
      </c>
      <c r="O846">
        <v>40</v>
      </c>
      <c r="P846">
        <v>0</v>
      </c>
      <c r="Q846" s="501">
        <v>8652</v>
      </c>
      <c r="R846" t="s">
        <v>10714</v>
      </c>
      <c r="S846">
        <v>0</v>
      </c>
    </row>
    <row r="847" spans="1:19">
      <c r="A847" t="s">
        <v>9201</v>
      </c>
      <c r="B847">
        <v>103</v>
      </c>
      <c r="C847" t="s">
        <v>7328</v>
      </c>
      <c r="D847" t="s">
        <v>10710</v>
      </c>
      <c r="E847" t="s">
        <v>10833</v>
      </c>
      <c r="F847" t="s">
        <v>10712</v>
      </c>
      <c r="G847" t="s">
        <v>10834</v>
      </c>
      <c r="H847">
        <v>-5.5</v>
      </c>
      <c r="I847">
        <v>-0.75</v>
      </c>
      <c r="J847">
        <v>180</v>
      </c>
      <c r="L847" t="s">
        <v>7330</v>
      </c>
      <c r="M847" t="s">
        <v>7330</v>
      </c>
      <c r="N847" s="501">
        <v>18507</v>
      </c>
      <c r="P847">
        <v>0</v>
      </c>
      <c r="Q847" s="501">
        <v>18507</v>
      </c>
      <c r="R847" t="s">
        <v>10714</v>
      </c>
      <c r="S847">
        <v>0</v>
      </c>
    </row>
    <row r="848" spans="1:19">
      <c r="A848" t="s">
        <v>9201</v>
      </c>
      <c r="B848">
        <v>103</v>
      </c>
      <c r="C848" t="s">
        <v>7328</v>
      </c>
      <c r="D848" t="s">
        <v>10710</v>
      </c>
      <c r="E848" t="s">
        <v>10835</v>
      </c>
      <c r="F848" t="s">
        <v>10712</v>
      </c>
      <c r="G848" t="s">
        <v>10836</v>
      </c>
      <c r="H848">
        <v>-5.5</v>
      </c>
      <c r="I848">
        <v>-1.25</v>
      </c>
      <c r="J848">
        <v>180</v>
      </c>
      <c r="L848" t="s">
        <v>7330</v>
      </c>
      <c r="M848" t="s">
        <v>7330</v>
      </c>
      <c r="N848" s="501">
        <v>14110</v>
      </c>
      <c r="P848">
        <v>0</v>
      </c>
      <c r="Q848" s="501">
        <v>14110</v>
      </c>
      <c r="R848" t="s">
        <v>10714</v>
      </c>
      <c r="S848">
        <v>0</v>
      </c>
    </row>
    <row r="849" spans="1:19">
      <c r="A849" t="s">
        <v>9201</v>
      </c>
      <c r="B849">
        <v>103</v>
      </c>
      <c r="C849" t="s">
        <v>7328</v>
      </c>
      <c r="D849" t="s">
        <v>10710</v>
      </c>
      <c r="E849" t="s">
        <v>10837</v>
      </c>
      <c r="F849" t="s">
        <v>10712</v>
      </c>
      <c r="G849" t="s">
        <v>10838</v>
      </c>
      <c r="H849">
        <v>-5.5</v>
      </c>
      <c r="I849">
        <v>-1.75</v>
      </c>
      <c r="J849">
        <v>180</v>
      </c>
      <c r="L849" t="s">
        <v>7330</v>
      </c>
      <c r="M849" t="s">
        <v>7330</v>
      </c>
      <c r="N849" s="501">
        <v>12282</v>
      </c>
      <c r="P849">
        <v>0</v>
      </c>
      <c r="Q849" s="501">
        <v>12282</v>
      </c>
      <c r="R849" t="s">
        <v>10714</v>
      </c>
      <c r="S849">
        <v>0</v>
      </c>
    </row>
    <row r="850" spans="1:19">
      <c r="A850" t="s">
        <v>9201</v>
      </c>
      <c r="B850">
        <v>103</v>
      </c>
      <c r="C850" t="s">
        <v>7328</v>
      </c>
      <c r="D850" t="s">
        <v>10710</v>
      </c>
      <c r="E850" t="s">
        <v>10839</v>
      </c>
      <c r="F850" t="s">
        <v>10712</v>
      </c>
      <c r="G850" t="s">
        <v>10840</v>
      </c>
      <c r="H850">
        <v>-6</v>
      </c>
      <c r="I850">
        <v>-0.75</v>
      </c>
      <c r="J850">
        <v>180</v>
      </c>
      <c r="L850" t="s">
        <v>7330</v>
      </c>
      <c r="M850" t="s">
        <v>7330</v>
      </c>
      <c r="N850" s="501">
        <v>11398</v>
      </c>
      <c r="P850">
        <v>0</v>
      </c>
      <c r="Q850" s="501">
        <v>11398</v>
      </c>
      <c r="R850" t="s">
        <v>10714</v>
      </c>
      <c r="S850">
        <v>0</v>
      </c>
    </row>
    <row r="851" spans="1:19">
      <c r="A851" t="s">
        <v>9201</v>
      </c>
      <c r="B851">
        <v>103</v>
      </c>
      <c r="C851" t="s">
        <v>7328</v>
      </c>
      <c r="D851" t="s">
        <v>10710</v>
      </c>
      <c r="E851" t="s">
        <v>10841</v>
      </c>
      <c r="F851" t="s">
        <v>10712</v>
      </c>
      <c r="G851" t="s">
        <v>10842</v>
      </c>
      <c r="H851">
        <v>-6</v>
      </c>
      <c r="I851">
        <v>-1.25</v>
      </c>
      <c r="J851">
        <v>180</v>
      </c>
      <c r="L851" t="s">
        <v>7330</v>
      </c>
      <c r="M851" t="s">
        <v>7330</v>
      </c>
      <c r="N851" s="501">
        <v>10917</v>
      </c>
      <c r="P851">
        <v>0</v>
      </c>
      <c r="Q851" s="501">
        <v>10917</v>
      </c>
      <c r="R851" t="s">
        <v>10714</v>
      </c>
      <c r="S851">
        <v>0</v>
      </c>
    </row>
    <row r="852" spans="1:19">
      <c r="A852" t="s">
        <v>9201</v>
      </c>
      <c r="B852">
        <v>103</v>
      </c>
      <c r="C852" t="s">
        <v>7328</v>
      </c>
      <c r="D852" t="s">
        <v>10710</v>
      </c>
      <c r="E852" t="s">
        <v>10843</v>
      </c>
      <c r="F852" t="s">
        <v>10712</v>
      </c>
      <c r="G852" t="s">
        <v>10844</v>
      </c>
      <c r="H852">
        <v>-6</v>
      </c>
      <c r="I852">
        <v>-1.75</v>
      </c>
      <c r="J852">
        <v>180</v>
      </c>
      <c r="L852" t="s">
        <v>7330</v>
      </c>
      <c r="M852" t="s">
        <v>7330</v>
      </c>
      <c r="N852" s="501">
        <v>15727</v>
      </c>
      <c r="P852">
        <v>0</v>
      </c>
      <c r="Q852" s="501">
        <v>15727</v>
      </c>
      <c r="R852" t="s">
        <v>10714</v>
      </c>
      <c r="S852">
        <v>0</v>
      </c>
    </row>
    <row r="853" spans="1:19">
      <c r="A853" t="s">
        <v>9201</v>
      </c>
      <c r="B853">
        <v>103</v>
      </c>
      <c r="C853" t="s">
        <v>7328</v>
      </c>
      <c r="D853" t="s">
        <v>10710</v>
      </c>
      <c r="E853" t="s">
        <v>10845</v>
      </c>
      <c r="F853" t="s">
        <v>10712</v>
      </c>
      <c r="G853" t="s">
        <v>10846</v>
      </c>
      <c r="H853">
        <v>-6.5</v>
      </c>
      <c r="I853">
        <v>-0.75</v>
      </c>
      <c r="J853">
        <v>180</v>
      </c>
      <c r="L853" t="s">
        <v>7330</v>
      </c>
      <c r="M853" t="s">
        <v>7330</v>
      </c>
      <c r="N853" s="501">
        <v>24068</v>
      </c>
      <c r="P853">
        <v>0</v>
      </c>
      <c r="Q853" s="501">
        <v>24068</v>
      </c>
      <c r="R853" t="s">
        <v>10714</v>
      </c>
      <c r="S853">
        <v>0</v>
      </c>
    </row>
    <row r="854" spans="1:19">
      <c r="A854" t="s">
        <v>9201</v>
      </c>
      <c r="B854">
        <v>103</v>
      </c>
      <c r="C854" t="s">
        <v>7328</v>
      </c>
      <c r="D854" t="s">
        <v>10710</v>
      </c>
      <c r="E854" t="s">
        <v>10847</v>
      </c>
      <c r="F854" t="s">
        <v>10712</v>
      </c>
      <c r="G854" t="s">
        <v>10848</v>
      </c>
      <c r="H854">
        <v>-6.5</v>
      </c>
      <c r="I854">
        <v>-1.25</v>
      </c>
      <c r="J854">
        <v>180</v>
      </c>
      <c r="L854" t="s">
        <v>7330</v>
      </c>
      <c r="M854" t="s">
        <v>7330</v>
      </c>
      <c r="N854" s="501">
        <v>12595</v>
      </c>
      <c r="P854">
        <v>0</v>
      </c>
      <c r="Q854" s="501">
        <v>12595</v>
      </c>
      <c r="R854" t="s">
        <v>10714</v>
      </c>
      <c r="S854">
        <v>0</v>
      </c>
    </row>
    <row r="855" spans="1:19">
      <c r="A855" t="s">
        <v>9201</v>
      </c>
      <c r="B855">
        <v>103</v>
      </c>
      <c r="C855" t="s">
        <v>7328</v>
      </c>
      <c r="D855" t="s">
        <v>10710</v>
      </c>
      <c r="E855" t="s">
        <v>10849</v>
      </c>
      <c r="F855" t="s">
        <v>10712</v>
      </c>
      <c r="G855" t="s">
        <v>10850</v>
      </c>
      <c r="H855">
        <v>-6.5</v>
      </c>
      <c r="I855">
        <v>-1.75</v>
      </c>
      <c r="J855">
        <v>180</v>
      </c>
      <c r="L855" t="s">
        <v>7330</v>
      </c>
      <c r="M855" t="s">
        <v>7330</v>
      </c>
      <c r="N855" s="501">
        <v>17911</v>
      </c>
      <c r="P855">
        <v>0</v>
      </c>
      <c r="Q855" s="501">
        <v>17911</v>
      </c>
      <c r="R855" t="s">
        <v>10714</v>
      </c>
      <c r="S855">
        <v>0</v>
      </c>
    </row>
    <row r="856" spans="1:19">
      <c r="A856" t="s">
        <v>9201</v>
      </c>
      <c r="B856">
        <v>103</v>
      </c>
      <c r="C856" t="s">
        <v>7328</v>
      </c>
      <c r="D856" t="s">
        <v>10710</v>
      </c>
      <c r="E856" t="s">
        <v>10851</v>
      </c>
      <c r="F856" t="s">
        <v>10712</v>
      </c>
      <c r="G856" t="s">
        <v>10852</v>
      </c>
      <c r="H856">
        <v>-7</v>
      </c>
      <c r="I856">
        <v>-0.75</v>
      </c>
      <c r="J856">
        <v>180</v>
      </c>
      <c r="L856" t="s">
        <v>7330</v>
      </c>
      <c r="M856" t="s">
        <v>7330</v>
      </c>
      <c r="N856" s="501">
        <v>13889</v>
      </c>
      <c r="P856">
        <v>0</v>
      </c>
      <c r="Q856" s="501">
        <v>13889</v>
      </c>
      <c r="R856" t="s">
        <v>10714</v>
      </c>
      <c r="S856">
        <v>0</v>
      </c>
    </row>
    <row r="857" spans="1:19">
      <c r="A857" t="s">
        <v>9201</v>
      </c>
      <c r="B857">
        <v>103</v>
      </c>
      <c r="C857" t="s">
        <v>7328</v>
      </c>
      <c r="D857" t="s">
        <v>10710</v>
      </c>
      <c r="E857" t="s">
        <v>10853</v>
      </c>
      <c r="F857" t="s">
        <v>10712</v>
      </c>
      <c r="G857" t="s">
        <v>10854</v>
      </c>
      <c r="H857">
        <v>-7</v>
      </c>
      <c r="I857">
        <v>-1.25</v>
      </c>
      <c r="J857">
        <v>180</v>
      </c>
      <c r="L857" t="s">
        <v>7330</v>
      </c>
      <c r="M857" t="s">
        <v>7330</v>
      </c>
      <c r="N857" s="501">
        <v>10644</v>
      </c>
      <c r="P857">
        <v>0</v>
      </c>
      <c r="Q857" s="501">
        <v>10644</v>
      </c>
      <c r="R857" t="s">
        <v>10714</v>
      </c>
      <c r="S857">
        <v>0</v>
      </c>
    </row>
    <row r="858" spans="1:19">
      <c r="A858" t="s">
        <v>9201</v>
      </c>
      <c r="B858">
        <v>103</v>
      </c>
      <c r="C858" t="s">
        <v>7328</v>
      </c>
      <c r="D858" t="s">
        <v>10710</v>
      </c>
      <c r="E858" t="s">
        <v>10855</v>
      </c>
      <c r="F858" t="s">
        <v>10712</v>
      </c>
      <c r="G858" t="s">
        <v>10856</v>
      </c>
      <c r="H858">
        <v>-7</v>
      </c>
      <c r="I858">
        <v>-1.75</v>
      </c>
      <c r="J858">
        <v>180</v>
      </c>
      <c r="L858" t="s">
        <v>7330</v>
      </c>
      <c r="M858" t="s">
        <v>7330</v>
      </c>
      <c r="N858" s="501">
        <v>14272</v>
      </c>
      <c r="O858" s="501"/>
      <c r="P858">
        <v>0</v>
      </c>
      <c r="Q858" s="501">
        <v>14272</v>
      </c>
      <c r="R858" t="s">
        <v>10714</v>
      </c>
      <c r="S858">
        <v>0</v>
      </c>
    </row>
    <row r="859" spans="1:19">
      <c r="A859" t="s">
        <v>9201</v>
      </c>
      <c r="B859">
        <v>103</v>
      </c>
      <c r="C859" t="s">
        <v>7328</v>
      </c>
      <c r="D859" t="s">
        <v>10710</v>
      </c>
      <c r="E859" t="s">
        <v>10857</v>
      </c>
      <c r="F859" t="s">
        <v>10712</v>
      </c>
      <c r="G859" t="s">
        <v>10858</v>
      </c>
      <c r="H859">
        <v>-7.5</v>
      </c>
      <c r="I859">
        <v>-0.75</v>
      </c>
      <c r="J859">
        <v>180</v>
      </c>
      <c r="L859" t="s">
        <v>7330</v>
      </c>
      <c r="M859" t="s">
        <v>7330</v>
      </c>
      <c r="N859" s="501">
        <v>5521</v>
      </c>
      <c r="P859">
        <v>0</v>
      </c>
      <c r="Q859" s="501">
        <v>5521</v>
      </c>
      <c r="R859" t="s">
        <v>10714</v>
      </c>
      <c r="S859">
        <v>0</v>
      </c>
    </row>
    <row r="860" spans="1:19">
      <c r="A860" t="s">
        <v>9201</v>
      </c>
      <c r="B860">
        <v>103</v>
      </c>
      <c r="C860" t="s">
        <v>7328</v>
      </c>
      <c r="D860" t="s">
        <v>10710</v>
      </c>
      <c r="E860" t="s">
        <v>10859</v>
      </c>
      <c r="F860" t="s">
        <v>10712</v>
      </c>
      <c r="G860" t="s">
        <v>10860</v>
      </c>
      <c r="H860">
        <v>-7.5</v>
      </c>
      <c r="I860">
        <v>-1.25</v>
      </c>
      <c r="J860">
        <v>180</v>
      </c>
      <c r="L860" t="s">
        <v>7330</v>
      </c>
      <c r="M860" t="s">
        <v>7330</v>
      </c>
      <c r="N860" s="501">
        <v>1489</v>
      </c>
      <c r="O860" s="501">
        <v>75</v>
      </c>
      <c r="P860">
        <v>0</v>
      </c>
      <c r="Q860" s="501">
        <v>1564</v>
      </c>
      <c r="R860" t="s">
        <v>10714</v>
      </c>
      <c r="S860">
        <v>0</v>
      </c>
    </row>
    <row r="861" spans="1:19">
      <c r="A861" t="s">
        <v>9201</v>
      </c>
      <c r="B861">
        <v>103</v>
      </c>
      <c r="C861" t="s">
        <v>7328</v>
      </c>
      <c r="D861" t="s">
        <v>10710</v>
      </c>
      <c r="E861" t="s">
        <v>10861</v>
      </c>
      <c r="F861" t="s">
        <v>10712</v>
      </c>
      <c r="G861" t="s">
        <v>10862</v>
      </c>
      <c r="H861">
        <v>-7.5</v>
      </c>
      <c r="I861">
        <v>-1.75</v>
      </c>
      <c r="J861">
        <v>180</v>
      </c>
      <c r="L861" t="s">
        <v>7330</v>
      </c>
      <c r="M861" t="s">
        <v>7330</v>
      </c>
      <c r="N861" s="501">
        <v>2339</v>
      </c>
      <c r="P861">
        <v>0</v>
      </c>
      <c r="Q861" s="501">
        <v>2339</v>
      </c>
      <c r="R861" t="s">
        <v>10714</v>
      </c>
      <c r="S861">
        <v>0</v>
      </c>
    </row>
    <row r="862" spans="1:19">
      <c r="A862" t="s">
        <v>9201</v>
      </c>
      <c r="B862">
        <v>103</v>
      </c>
      <c r="C862" t="s">
        <v>7328</v>
      </c>
      <c r="D862" t="s">
        <v>10710</v>
      </c>
      <c r="E862" t="s">
        <v>10863</v>
      </c>
      <c r="F862" t="s">
        <v>10712</v>
      </c>
      <c r="G862" t="s">
        <v>10864</v>
      </c>
      <c r="H862">
        <v>-8</v>
      </c>
      <c r="I862">
        <v>-0.75</v>
      </c>
      <c r="J862">
        <v>180</v>
      </c>
      <c r="L862" t="s">
        <v>7330</v>
      </c>
      <c r="M862" t="s">
        <v>7330</v>
      </c>
      <c r="N862" s="501">
        <v>493</v>
      </c>
      <c r="P862">
        <v>0</v>
      </c>
      <c r="Q862" s="501">
        <v>493</v>
      </c>
      <c r="R862" t="s">
        <v>10714</v>
      </c>
      <c r="S862">
        <v>0</v>
      </c>
    </row>
    <row r="863" spans="1:19">
      <c r="A863" t="s">
        <v>9201</v>
      </c>
      <c r="B863">
        <v>103</v>
      </c>
      <c r="C863" t="s">
        <v>7328</v>
      </c>
      <c r="D863" t="s">
        <v>10710</v>
      </c>
      <c r="E863" t="s">
        <v>10865</v>
      </c>
      <c r="F863" t="s">
        <v>10712</v>
      </c>
      <c r="G863" t="s">
        <v>10866</v>
      </c>
      <c r="H863">
        <v>-8</v>
      </c>
      <c r="I863">
        <v>-1.25</v>
      </c>
      <c r="J863">
        <v>180</v>
      </c>
      <c r="L863" t="s">
        <v>7330</v>
      </c>
      <c r="M863" t="s">
        <v>7330</v>
      </c>
      <c r="N863" s="501">
        <v>257</v>
      </c>
      <c r="P863">
        <v>0</v>
      </c>
      <c r="Q863" s="501">
        <v>257</v>
      </c>
      <c r="R863" t="s">
        <v>10714</v>
      </c>
      <c r="S863">
        <v>0</v>
      </c>
    </row>
    <row r="864" spans="1:19">
      <c r="A864" t="s">
        <v>9201</v>
      </c>
      <c r="B864">
        <v>103</v>
      </c>
      <c r="C864" t="s">
        <v>7328</v>
      </c>
      <c r="D864" t="s">
        <v>10710</v>
      </c>
      <c r="E864" t="s">
        <v>10867</v>
      </c>
      <c r="F864" t="s">
        <v>10712</v>
      </c>
      <c r="G864" t="s">
        <v>10868</v>
      </c>
      <c r="H864">
        <v>-8</v>
      </c>
      <c r="I864">
        <v>-1.75</v>
      </c>
      <c r="J864">
        <v>180</v>
      </c>
      <c r="L864" t="s">
        <v>7330</v>
      </c>
      <c r="M864" t="s">
        <v>7330</v>
      </c>
      <c r="N864" s="501">
        <v>4153</v>
      </c>
      <c r="P864">
        <v>0</v>
      </c>
      <c r="Q864" s="501">
        <v>4153</v>
      </c>
      <c r="R864" t="s">
        <v>10714</v>
      </c>
      <c r="S864">
        <v>0</v>
      </c>
    </row>
    <row r="865" spans="1:19">
      <c r="A865" t="s">
        <v>9201</v>
      </c>
      <c r="B865">
        <v>103</v>
      </c>
      <c r="C865" t="s">
        <v>7328</v>
      </c>
      <c r="D865" t="s">
        <v>10710</v>
      </c>
      <c r="E865" t="s">
        <v>10869</v>
      </c>
      <c r="F865" t="s">
        <v>10712</v>
      </c>
      <c r="G865" t="s">
        <v>10870</v>
      </c>
      <c r="H865">
        <v>-8.5</v>
      </c>
      <c r="I865">
        <v>-1.25</v>
      </c>
      <c r="J865">
        <v>180</v>
      </c>
      <c r="L865" t="s">
        <v>7330</v>
      </c>
      <c r="M865" t="s">
        <v>7330</v>
      </c>
      <c r="N865" s="501">
        <v>205</v>
      </c>
      <c r="P865">
        <v>0</v>
      </c>
      <c r="Q865" s="501">
        <v>205</v>
      </c>
      <c r="R865" t="s">
        <v>10714</v>
      </c>
      <c r="S865">
        <v>0</v>
      </c>
    </row>
    <row r="866" spans="1:19">
      <c r="A866" t="s">
        <v>9201</v>
      </c>
      <c r="B866">
        <v>103</v>
      </c>
      <c r="C866" t="s">
        <v>7328</v>
      </c>
      <c r="D866" t="s">
        <v>10710</v>
      </c>
      <c r="E866" t="s">
        <v>10871</v>
      </c>
      <c r="F866" t="s">
        <v>10712</v>
      </c>
      <c r="G866" t="s">
        <v>10872</v>
      </c>
      <c r="H866">
        <v>-8.5</v>
      </c>
      <c r="I866">
        <v>-1.75</v>
      </c>
      <c r="J866">
        <v>180</v>
      </c>
      <c r="L866" t="s">
        <v>7330</v>
      </c>
      <c r="M866" t="s">
        <v>7330</v>
      </c>
      <c r="N866" s="501">
        <v>4225</v>
      </c>
      <c r="P866">
        <v>0</v>
      </c>
      <c r="Q866" s="501">
        <v>4225</v>
      </c>
      <c r="R866" t="s">
        <v>10714</v>
      </c>
      <c r="S866">
        <v>0</v>
      </c>
    </row>
    <row r="867" spans="1:19">
      <c r="A867" t="s">
        <v>9201</v>
      </c>
      <c r="B867">
        <v>103</v>
      </c>
      <c r="C867" t="s">
        <v>7328</v>
      </c>
      <c r="D867" t="s">
        <v>10710</v>
      </c>
      <c r="E867" t="s">
        <v>10873</v>
      </c>
      <c r="F867" t="s">
        <v>10712</v>
      </c>
      <c r="G867" t="s">
        <v>10874</v>
      </c>
      <c r="H867">
        <v>-9</v>
      </c>
      <c r="I867">
        <v>-0.75</v>
      </c>
      <c r="J867">
        <v>180</v>
      </c>
      <c r="L867" t="s">
        <v>7330</v>
      </c>
      <c r="M867" t="s">
        <v>7330</v>
      </c>
      <c r="N867" s="501">
        <v>12</v>
      </c>
      <c r="O867">
        <v>30</v>
      </c>
      <c r="P867">
        <v>0</v>
      </c>
      <c r="Q867" s="501">
        <v>42</v>
      </c>
      <c r="R867" t="s">
        <v>10714</v>
      </c>
      <c r="S867">
        <v>0</v>
      </c>
    </row>
    <row r="868" spans="1:19">
      <c r="A868" t="s">
        <v>9201</v>
      </c>
      <c r="B868">
        <v>103</v>
      </c>
      <c r="C868" t="s">
        <v>7328</v>
      </c>
      <c r="D868" t="s">
        <v>10710</v>
      </c>
      <c r="E868" t="s">
        <v>10875</v>
      </c>
      <c r="F868" t="s">
        <v>10712</v>
      </c>
      <c r="G868" t="s">
        <v>10876</v>
      </c>
      <c r="H868">
        <v>-9</v>
      </c>
      <c r="I868">
        <v>-1.25</v>
      </c>
      <c r="J868">
        <v>180</v>
      </c>
      <c r="L868" t="s">
        <v>7330</v>
      </c>
      <c r="M868" t="s">
        <v>7330</v>
      </c>
      <c r="N868" s="501">
        <v>2146</v>
      </c>
      <c r="P868">
        <v>0</v>
      </c>
      <c r="Q868" s="501">
        <v>2146</v>
      </c>
      <c r="R868" t="s">
        <v>10714</v>
      </c>
      <c r="S868">
        <v>0</v>
      </c>
    </row>
    <row r="869" spans="1:19">
      <c r="A869" t="s">
        <v>9201</v>
      </c>
      <c r="B869">
        <v>103</v>
      </c>
      <c r="C869" t="s">
        <v>7328</v>
      </c>
      <c r="D869" t="s">
        <v>10710</v>
      </c>
      <c r="E869" t="s">
        <v>10877</v>
      </c>
      <c r="F869" t="s">
        <v>10712</v>
      </c>
      <c r="G869" t="s">
        <v>10878</v>
      </c>
      <c r="H869">
        <v>-9</v>
      </c>
      <c r="I869">
        <v>-1.75</v>
      </c>
      <c r="J869">
        <v>180</v>
      </c>
      <c r="L869" t="s">
        <v>7330</v>
      </c>
      <c r="M869" t="s">
        <v>7330</v>
      </c>
      <c r="N869" s="501">
        <v>2476</v>
      </c>
      <c r="P869">
        <v>0</v>
      </c>
      <c r="Q869" s="501">
        <v>2476</v>
      </c>
      <c r="R869" t="s">
        <v>10714</v>
      </c>
      <c r="S869">
        <v>0</v>
      </c>
    </row>
    <row r="870" spans="1:19">
      <c r="A870" t="s">
        <v>9201</v>
      </c>
      <c r="B870">
        <v>103</v>
      </c>
      <c r="C870" t="s">
        <v>7328</v>
      </c>
      <c r="D870" t="s">
        <v>10879</v>
      </c>
      <c r="E870" t="s">
        <v>10880</v>
      </c>
      <c r="F870" t="s">
        <v>10881</v>
      </c>
      <c r="G870" t="s">
        <v>10882</v>
      </c>
      <c r="H870">
        <v>0</v>
      </c>
      <c r="I870">
        <v>-0.75</v>
      </c>
      <c r="J870">
        <v>180</v>
      </c>
      <c r="L870" t="s">
        <v>7330</v>
      </c>
      <c r="M870" t="s">
        <v>7330</v>
      </c>
      <c r="N870" s="501">
        <v>1197</v>
      </c>
      <c r="P870">
        <v>0</v>
      </c>
      <c r="Q870" s="501">
        <v>1197</v>
      </c>
      <c r="R870" t="s">
        <v>10714</v>
      </c>
      <c r="S870">
        <v>0</v>
      </c>
    </row>
    <row r="871" spans="1:19">
      <c r="A871" t="s">
        <v>9201</v>
      </c>
      <c r="B871">
        <v>103</v>
      </c>
      <c r="C871" t="s">
        <v>7328</v>
      </c>
      <c r="D871" t="s">
        <v>10879</v>
      </c>
      <c r="E871" t="s">
        <v>10883</v>
      </c>
      <c r="F871" t="s">
        <v>10881</v>
      </c>
      <c r="G871" t="s">
        <v>10884</v>
      </c>
      <c r="H871">
        <v>0</v>
      </c>
      <c r="I871">
        <v>-1.25</v>
      </c>
      <c r="J871">
        <v>180</v>
      </c>
      <c r="L871" t="s">
        <v>7330</v>
      </c>
      <c r="M871" t="s">
        <v>7330</v>
      </c>
      <c r="N871" s="501">
        <v>5877</v>
      </c>
      <c r="P871">
        <v>0</v>
      </c>
      <c r="Q871" s="501">
        <v>5877</v>
      </c>
      <c r="R871" t="s">
        <v>10714</v>
      </c>
      <c r="S871">
        <v>0</v>
      </c>
    </row>
    <row r="872" spans="1:19">
      <c r="A872" t="s">
        <v>9201</v>
      </c>
      <c r="B872">
        <v>103</v>
      </c>
      <c r="C872" t="s">
        <v>7328</v>
      </c>
      <c r="D872" t="s">
        <v>10879</v>
      </c>
      <c r="E872" t="s">
        <v>10885</v>
      </c>
      <c r="F872" t="s">
        <v>10881</v>
      </c>
      <c r="G872" t="s">
        <v>10886</v>
      </c>
      <c r="H872">
        <v>0</v>
      </c>
      <c r="I872">
        <v>-1.75</v>
      </c>
      <c r="J872">
        <v>180</v>
      </c>
      <c r="L872" t="s">
        <v>7330</v>
      </c>
      <c r="M872" t="s">
        <v>7330</v>
      </c>
      <c r="N872" s="501">
        <v>3909</v>
      </c>
      <c r="P872">
        <v>0</v>
      </c>
      <c r="Q872" s="501">
        <v>3909</v>
      </c>
      <c r="R872" t="s">
        <v>10714</v>
      </c>
      <c r="S872">
        <v>0</v>
      </c>
    </row>
    <row r="873" spans="1:19">
      <c r="A873" t="s">
        <v>9201</v>
      </c>
      <c r="B873">
        <v>103</v>
      </c>
      <c r="C873" t="s">
        <v>7328</v>
      </c>
      <c r="D873" t="s">
        <v>10879</v>
      </c>
      <c r="E873" t="s">
        <v>10887</v>
      </c>
      <c r="F873" t="s">
        <v>10881</v>
      </c>
      <c r="G873" t="s">
        <v>10888</v>
      </c>
      <c r="H873">
        <v>-0.5</v>
      </c>
      <c r="I873">
        <v>-0.75</v>
      </c>
      <c r="J873">
        <v>180</v>
      </c>
      <c r="L873" t="s">
        <v>7330</v>
      </c>
      <c r="M873" t="s">
        <v>7330</v>
      </c>
      <c r="N873" s="501">
        <v>6737</v>
      </c>
      <c r="P873">
        <v>0</v>
      </c>
      <c r="Q873" s="501">
        <v>6737</v>
      </c>
      <c r="R873" t="s">
        <v>10714</v>
      </c>
      <c r="S873">
        <v>0</v>
      </c>
    </row>
    <row r="874" spans="1:19">
      <c r="A874" t="s">
        <v>9201</v>
      </c>
      <c r="B874">
        <v>103</v>
      </c>
      <c r="C874" t="s">
        <v>7328</v>
      </c>
      <c r="D874" t="s">
        <v>10879</v>
      </c>
      <c r="E874" t="s">
        <v>10889</v>
      </c>
      <c r="F874" t="s">
        <v>10881</v>
      </c>
      <c r="G874" t="s">
        <v>10890</v>
      </c>
      <c r="H874">
        <v>-0.5</v>
      </c>
      <c r="I874">
        <v>-1.25</v>
      </c>
      <c r="J874">
        <v>180</v>
      </c>
      <c r="L874" t="s">
        <v>7330</v>
      </c>
      <c r="M874" t="s">
        <v>7330</v>
      </c>
      <c r="N874" s="501">
        <v>3820</v>
      </c>
      <c r="P874">
        <v>0</v>
      </c>
      <c r="Q874" s="501">
        <v>3820</v>
      </c>
      <c r="R874" t="s">
        <v>10714</v>
      </c>
      <c r="S874">
        <v>0</v>
      </c>
    </row>
    <row r="875" spans="1:19">
      <c r="A875" t="s">
        <v>9201</v>
      </c>
      <c r="B875">
        <v>103</v>
      </c>
      <c r="C875" t="s">
        <v>7328</v>
      </c>
      <c r="D875" t="s">
        <v>10879</v>
      </c>
      <c r="E875" t="s">
        <v>10891</v>
      </c>
      <c r="F875" t="s">
        <v>10881</v>
      </c>
      <c r="G875" t="s">
        <v>10892</v>
      </c>
      <c r="H875">
        <v>-0.5</v>
      </c>
      <c r="I875">
        <v>-1.75</v>
      </c>
      <c r="J875">
        <v>180</v>
      </c>
      <c r="L875" t="s">
        <v>7330</v>
      </c>
      <c r="M875" t="s">
        <v>7330</v>
      </c>
      <c r="N875" s="501">
        <v>3394</v>
      </c>
      <c r="P875">
        <v>0</v>
      </c>
      <c r="Q875" s="501">
        <v>3394</v>
      </c>
      <c r="R875" t="s">
        <v>10714</v>
      </c>
      <c r="S875">
        <v>0</v>
      </c>
    </row>
    <row r="876" spans="1:19">
      <c r="A876" t="s">
        <v>9201</v>
      </c>
      <c r="B876">
        <v>103</v>
      </c>
      <c r="C876" t="s">
        <v>7328</v>
      </c>
      <c r="D876" t="s">
        <v>10879</v>
      </c>
      <c r="E876" t="s">
        <v>10893</v>
      </c>
      <c r="F876" t="s">
        <v>10881</v>
      </c>
      <c r="G876" t="s">
        <v>10894</v>
      </c>
      <c r="H876">
        <v>-0.75</v>
      </c>
      <c r="I876">
        <v>-0.75</v>
      </c>
      <c r="J876">
        <v>180</v>
      </c>
      <c r="L876" t="s">
        <v>7330</v>
      </c>
      <c r="M876" t="s">
        <v>7330</v>
      </c>
      <c r="N876" s="501">
        <v>2797</v>
      </c>
      <c r="P876">
        <v>0</v>
      </c>
      <c r="Q876" s="501">
        <v>2797</v>
      </c>
      <c r="R876" t="s">
        <v>10714</v>
      </c>
      <c r="S876">
        <v>0</v>
      </c>
    </row>
    <row r="877" spans="1:19">
      <c r="A877" t="s">
        <v>9201</v>
      </c>
      <c r="B877">
        <v>103</v>
      </c>
      <c r="C877" t="s">
        <v>7328</v>
      </c>
      <c r="D877" t="s">
        <v>10879</v>
      </c>
      <c r="E877" t="s">
        <v>10895</v>
      </c>
      <c r="F877" t="s">
        <v>10881</v>
      </c>
      <c r="G877" t="s">
        <v>10896</v>
      </c>
      <c r="H877">
        <v>-0.75</v>
      </c>
      <c r="I877">
        <v>-1.25</v>
      </c>
      <c r="J877">
        <v>180</v>
      </c>
      <c r="L877" t="s">
        <v>7330</v>
      </c>
      <c r="M877" t="s">
        <v>7330</v>
      </c>
      <c r="N877" s="501">
        <v>4139</v>
      </c>
      <c r="P877">
        <v>0</v>
      </c>
      <c r="Q877" s="501">
        <v>4139</v>
      </c>
      <c r="R877" t="s">
        <v>10714</v>
      </c>
      <c r="S877">
        <v>0</v>
      </c>
    </row>
    <row r="878" spans="1:19">
      <c r="A878" t="s">
        <v>9201</v>
      </c>
      <c r="B878">
        <v>103</v>
      </c>
      <c r="C878" t="s">
        <v>7328</v>
      </c>
      <c r="D878" t="s">
        <v>10879</v>
      </c>
      <c r="E878" t="s">
        <v>10897</v>
      </c>
      <c r="F878" t="s">
        <v>10881</v>
      </c>
      <c r="G878" t="s">
        <v>10659</v>
      </c>
      <c r="H878">
        <v>-0.75</v>
      </c>
      <c r="I878">
        <v>-1.75</v>
      </c>
      <c r="J878">
        <v>180</v>
      </c>
      <c r="L878" t="s">
        <v>7330</v>
      </c>
      <c r="M878" t="s">
        <v>7330</v>
      </c>
      <c r="N878" s="501">
        <v>7856</v>
      </c>
      <c r="P878">
        <v>0</v>
      </c>
      <c r="Q878" s="501">
        <v>7856</v>
      </c>
      <c r="R878" t="s">
        <v>10714</v>
      </c>
      <c r="S878">
        <v>0</v>
      </c>
    </row>
    <row r="879" spans="1:19">
      <c r="A879" t="s">
        <v>9201</v>
      </c>
      <c r="B879">
        <v>103</v>
      </c>
      <c r="C879" t="s">
        <v>7328</v>
      </c>
      <c r="D879" t="s">
        <v>10879</v>
      </c>
      <c r="E879" t="s">
        <v>10898</v>
      </c>
      <c r="F879" t="s">
        <v>10881</v>
      </c>
      <c r="G879" t="s">
        <v>10643</v>
      </c>
      <c r="H879">
        <v>-1</v>
      </c>
      <c r="I879">
        <v>-0.75</v>
      </c>
      <c r="J879">
        <v>180</v>
      </c>
      <c r="L879" t="s">
        <v>7330</v>
      </c>
      <c r="M879" t="s">
        <v>7330</v>
      </c>
      <c r="N879" s="501">
        <v>5849</v>
      </c>
      <c r="P879">
        <v>0</v>
      </c>
      <c r="Q879" s="501">
        <v>5849</v>
      </c>
      <c r="R879" t="s">
        <v>10714</v>
      </c>
      <c r="S879">
        <v>0</v>
      </c>
    </row>
    <row r="880" spans="1:19">
      <c r="A880" t="s">
        <v>9201</v>
      </c>
      <c r="B880">
        <v>103</v>
      </c>
      <c r="C880" t="s">
        <v>7328</v>
      </c>
      <c r="D880" t="s">
        <v>10879</v>
      </c>
      <c r="E880" t="s">
        <v>10899</v>
      </c>
      <c r="F880" t="s">
        <v>10881</v>
      </c>
      <c r="G880" t="s">
        <v>10900</v>
      </c>
      <c r="H880">
        <v>-1</v>
      </c>
      <c r="I880">
        <v>-1.25</v>
      </c>
      <c r="J880">
        <v>180</v>
      </c>
      <c r="L880" t="s">
        <v>7330</v>
      </c>
      <c r="M880" t="s">
        <v>7330</v>
      </c>
      <c r="N880" s="501">
        <v>6525</v>
      </c>
      <c r="P880">
        <v>0</v>
      </c>
      <c r="Q880" s="501">
        <v>6525</v>
      </c>
      <c r="R880" t="s">
        <v>10714</v>
      </c>
      <c r="S880">
        <v>0</v>
      </c>
    </row>
    <row r="881" spans="1:19">
      <c r="A881" t="s">
        <v>9201</v>
      </c>
      <c r="B881">
        <v>103</v>
      </c>
      <c r="C881" t="s">
        <v>7328</v>
      </c>
      <c r="D881" t="s">
        <v>10879</v>
      </c>
      <c r="E881" t="s">
        <v>10901</v>
      </c>
      <c r="F881" t="s">
        <v>10881</v>
      </c>
      <c r="G881" t="s">
        <v>10902</v>
      </c>
      <c r="H881">
        <v>-1</v>
      </c>
      <c r="I881">
        <v>-1.75</v>
      </c>
      <c r="J881">
        <v>180</v>
      </c>
      <c r="L881" t="s">
        <v>7330</v>
      </c>
      <c r="M881" t="s">
        <v>7330</v>
      </c>
      <c r="N881" s="501">
        <v>4482</v>
      </c>
      <c r="P881">
        <v>0</v>
      </c>
      <c r="Q881" s="501">
        <v>4482</v>
      </c>
      <c r="R881" t="s">
        <v>10714</v>
      </c>
      <c r="S881">
        <v>0</v>
      </c>
    </row>
    <row r="882" spans="1:19">
      <c r="A882" t="s">
        <v>9201</v>
      </c>
      <c r="B882">
        <v>103</v>
      </c>
      <c r="C882" t="s">
        <v>7328</v>
      </c>
      <c r="D882" t="s">
        <v>10879</v>
      </c>
      <c r="E882" t="s">
        <v>10903</v>
      </c>
      <c r="F882" t="s">
        <v>10881</v>
      </c>
      <c r="G882" t="s">
        <v>10904</v>
      </c>
      <c r="H882">
        <v>-1.25</v>
      </c>
      <c r="I882">
        <v>-0.75</v>
      </c>
      <c r="J882">
        <v>180</v>
      </c>
      <c r="L882" t="s">
        <v>7330</v>
      </c>
      <c r="M882" t="s">
        <v>7330</v>
      </c>
      <c r="N882" s="501">
        <v>8594</v>
      </c>
      <c r="P882">
        <v>0</v>
      </c>
      <c r="Q882" s="501">
        <v>8594</v>
      </c>
      <c r="R882" t="s">
        <v>10714</v>
      </c>
      <c r="S882">
        <v>0</v>
      </c>
    </row>
    <row r="883" spans="1:19">
      <c r="A883" t="s">
        <v>9201</v>
      </c>
      <c r="B883">
        <v>103</v>
      </c>
      <c r="C883" t="s">
        <v>7328</v>
      </c>
      <c r="D883" t="s">
        <v>10879</v>
      </c>
      <c r="E883" t="s">
        <v>10905</v>
      </c>
      <c r="F883" t="s">
        <v>10881</v>
      </c>
      <c r="G883" t="s">
        <v>10906</v>
      </c>
      <c r="H883">
        <v>-1.25</v>
      </c>
      <c r="I883">
        <v>-1.25</v>
      </c>
      <c r="J883">
        <v>180</v>
      </c>
      <c r="L883" t="s">
        <v>7330</v>
      </c>
      <c r="M883" t="s">
        <v>7330</v>
      </c>
      <c r="N883" s="501">
        <v>6399</v>
      </c>
      <c r="P883">
        <v>0</v>
      </c>
      <c r="Q883" s="501">
        <v>6399</v>
      </c>
      <c r="R883" t="s">
        <v>10714</v>
      </c>
      <c r="S883">
        <v>0</v>
      </c>
    </row>
    <row r="884" spans="1:19">
      <c r="A884" t="s">
        <v>9201</v>
      </c>
      <c r="B884">
        <v>103</v>
      </c>
      <c r="C884" t="s">
        <v>7328</v>
      </c>
      <c r="D884" t="s">
        <v>10879</v>
      </c>
      <c r="E884" t="s">
        <v>10907</v>
      </c>
      <c r="F884" t="s">
        <v>10881</v>
      </c>
      <c r="G884" t="s">
        <v>10908</v>
      </c>
      <c r="H884">
        <v>-1.25</v>
      </c>
      <c r="I884">
        <v>-1.75</v>
      </c>
      <c r="J884">
        <v>180</v>
      </c>
      <c r="L884" t="s">
        <v>7330</v>
      </c>
      <c r="M884" t="s">
        <v>7330</v>
      </c>
      <c r="N884" s="501">
        <v>3123</v>
      </c>
      <c r="P884">
        <v>0</v>
      </c>
      <c r="Q884" s="501">
        <v>3123</v>
      </c>
      <c r="R884" t="s">
        <v>10714</v>
      </c>
      <c r="S884">
        <v>0</v>
      </c>
    </row>
    <row r="885" spans="1:19">
      <c r="A885" t="s">
        <v>9201</v>
      </c>
      <c r="B885">
        <v>103</v>
      </c>
      <c r="C885" t="s">
        <v>7328</v>
      </c>
      <c r="D885" t="s">
        <v>10879</v>
      </c>
      <c r="E885" t="s">
        <v>10909</v>
      </c>
      <c r="F885" t="s">
        <v>10881</v>
      </c>
      <c r="G885" t="s">
        <v>10645</v>
      </c>
      <c r="H885">
        <v>-1.5</v>
      </c>
      <c r="I885">
        <v>-0.75</v>
      </c>
      <c r="J885">
        <v>180</v>
      </c>
      <c r="L885" t="s">
        <v>7330</v>
      </c>
      <c r="M885" t="s">
        <v>7330</v>
      </c>
      <c r="N885" s="501">
        <v>7586</v>
      </c>
      <c r="P885">
        <v>0</v>
      </c>
      <c r="Q885" s="501">
        <v>7586</v>
      </c>
      <c r="R885" t="s">
        <v>10714</v>
      </c>
      <c r="S885">
        <v>0</v>
      </c>
    </row>
    <row r="886" spans="1:19">
      <c r="A886" t="s">
        <v>9201</v>
      </c>
      <c r="B886">
        <v>103</v>
      </c>
      <c r="C886" t="s">
        <v>7328</v>
      </c>
      <c r="D886" t="s">
        <v>10879</v>
      </c>
      <c r="E886" t="s">
        <v>10910</v>
      </c>
      <c r="F886" t="s">
        <v>10881</v>
      </c>
      <c r="G886" t="s">
        <v>10911</v>
      </c>
      <c r="H886">
        <v>-1.5</v>
      </c>
      <c r="I886">
        <v>-1.25</v>
      </c>
      <c r="J886">
        <v>180</v>
      </c>
      <c r="L886" t="s">
        <v>7330</v>
      </c>
      <c r="M886" t="s">
        <v>7330</v>
      </c>
      <c r="N886" s="501">
        <v>3361</v>
      </c>
      <c r="P886">
        <v>0</v>
      </c>
      <c r="Q886" s="501">
        <v>3361</v>
      </c>
      <c r="R886" t="s">
        <v>10714</v>
      </c>
      <c r="S886">
        <v>0</v>
      </c>
    </row>
    <row r="887" spans="1:19">
      <c r="A887" t="s">
        <v>9201</v>
      </c>
      <c r="B887">
        <v>103</v>
      </c>
      <c r="C887" t="s">
        <v>7328</v>
      </c>
      <c r="D887" t="s">
        <v>10879</v>
      </c>
      <c r="E887" t="s">
        <v>10912</v>
      </c>
      <c r="F887" t="s">
        <v>10881</v>
      </c>
      <c r="G887" t="s">
        <v>10913</v>
      </c>
      <c r="H887">
        <v>-1.5</v>
      </c>
      <c r="I887">
        <v>-1.75</v>
      </c>
      <c r="J887">
        <v>180</v>
      </c>
      <c r="L887" t="s">
        <v>7330</v>
      </c>
      <c r="M887" t="s">
        <v>7330</v>
      </c>
      <c r="N887" s="501">
        <v>2932</v>
      </c>
      <c r="P887">
        <v>0</v>
      </c>
      <c r="Q887" s="501">
        <v>2932</v>
      </c>
      <c r="R887" t="s">
        <v>10714</v>
      </c>
      <c r="S887">
        <v>0</v>
      </c>
    </row>
    <row r="888" spans="1:19">
      <c r="A888" t="s">
        <v>9201</v>
      </c>
      <c r="B888">
        <v>103</v>
      </c>
      <c r="C888" t="s">
        <v>7328</v>
      </c>
      <c r="D888" t="s">
        <v>10879</v>
      </c>
      <c r="E888" t="s">
        <v>10914</v>
      </c>
      <c r="F888" t="s">
        <v>10881</v>
      </c>
      <c r="G888" t="s">
        <v>10915</v>
      </c>
      <c r="H888">
        <v>-1.75</v>
      </c>
      <c r="I888">
        <v>-0.75</v>
      </c>
      <c r="J888">
        <v>180</v>
      </c>
      <c r="L888" t="s">
        <v>7330</v>
      </c>
      <c r="M888" t="s">
        <v>7330</v>
      </c>
      <c r="N888" s="501">
        <v>4974</v>
      </c>
      <c r="P888">
        <v>0</v>
      </c>
      <c r="Q888" s="501">
        <v>4974</v>
      </c>
      <c r="R888" t="s">
        <v>10714</v>
      </c>
      <c r="S888">
        <v>0</v>
      </c>
    </row>
    <row r="889" spans="1:19">
      <c r="A889" t="s">
        <v>9201</v>
      </c>
      <c r="B889">
        <v>103</v>
      </c>
      <c r="C889" t="s">
        <v>7328</v>
      </c>
      <c r="D889" t="s">
        <v>10879</v>
      </c>
      <c r="E889" t="s">
        <v>10916</v>
      </c>
      <c r="F889" t="s">
        <v>10881</v>
      </c>
      <c r="G889" t="s">
        <v>10917</v>
      </c>
      <c r="H889">
        <v>-1.75</v>
      </c>
      <c r="I889">
        <v>-1.25</v>
      </c>
      <c r="J889">
        <v>180</v>
      </c>
      <c r="L889" t="s">
        <v>7330</v>
      </c>
      <c r="M889" t="s">
        <v>7330</v>
      </c>
      <c r="N889" s="501">
        <v>2609</v>
      </c>
      <c r="P889">
        <v>0</v>
      </c>
      <c r="Q889" s="501">
        <v>2609</v>
      </c>
      <c r="R889" t="s">
        <v>10714</v>
      </c>
      <c r="S889">
        <v>0</v>
      </c>
    </row>
    <row r="890" spans="1:19">
      <c r="A890" t="s">
        <v>9201</v>
      </c>
      <c r="B890">
        <v>103</v>
      </c>
      <c r="C890" t="s">
        <v>7328</v>
      </c>
      <c r="D890" t="s">
        <v>10879</v>
      </c>
      <c r="E890" t="s">
        <v>10918</v>
      </c>
      <c r="F890" t="s">
        <v>10881</v>
      </c>
      <c r="G890" t="s">
        <v>10919</v>
      </c>
      <c r="H890">
        <v>-1.75</v>
      </c>
      <c r="I890">
        <v>-1.75</v>
      </c>
      <c r="J890">
        <v>180</v>
      </c>
      <c r="L890" t="s">
        <v>7330</v>
      </c>
      <c r="M890" t="s">
        <v>7330</v>
      </c>
      <c r="N890" s="501">
        <v>2391</v>
      </c>
      <c r="P890">
        <v>0</v>
      </c>
      <c r="Q890" s="501">
        <v>2391</v>
      </c>
      <c r="R890" t="s">
        <v>10714</v>
      </c>
      <c r="S890">
        <v>0</v>
      </c>
    </row>
    <row r="891" spans="1:19">
      <c r="A891" t="s">
        <v>9201</v>
      </c>
      <c r="B891">
        <v>103</v>
      </c>
      <c r="C891" t="s">
        <v>7328</v>
      </c>
      <c r="D891" t="s">
        <v>10879</v>
      </c>
      <c r="E891" t="s">
        <v>10920</v>
      </c>
      <c r="F891" t="s">
        <v>10881</v>
      </c>
      <c r="G891" t="s">
        <v>10921</v>
      </c>
      <c r="H891">
        <v>-2</v>
      </c>
      <c r="I891">
        <v>-0.75</v>
      </c>
      <c r="J891">
        <v>180</v>
      </c>
      <c r="L891" t="s">
        <v>7330</v>
      </c>
      <c r="M891" t="s">
        <v>7330</v>
      </c>
      <c r="N891" s="501">
        <v>6229</v>
      </c>
      <c r="P891">
        <v>0</v>
      </c>
      <c r="Q891" s="501">
        <v>6229</v>
      </c>
      <c r="R891" t="s">
        <v>10714</v>
      </c>
      <c r="S891">
        <v>0</v>
      </c>
    </row>
    <row r="892" spans="1:19">
      <c r="A892" t="s">
        <v>9201</v>
      </c>
      <c r="B892">
        <v>103</v>
      </c>
      <c r="C892" t="s">
        <v>7328</v>
      </c>
      <c r="D892" t="s">
        <v>10879</v>
      </c>
      <c r="E892" t="s">
        <v>10922</v>
      </c>
      <c r="F892" t="s">
        <v>10881</v>
      </c>
      <c r="G892" t="s">
        <v>10923</v>
      </c>
      <c r="H892">
        <v>-2</v>
      </c>
      <c r="I892">
        <v>-1.25</v>
      </c>
      <c r="J892">
        <v>180</v>
      </c>
      <c r="L892" t="s">
        <v>7330</v>
      </c>
      <c r="M892" t="s">
        <v>7330</v>
      </c>
      <c r="N892" s="501">
        <v>6754</v>
      </c>
      <c r="P892">
        <v>0</v>
      </c>
      <c r="Q892" s="501">
        <v>6754</v>
      </c>
      <c r="R892" t="s">
        <v>10714</v>
      </c>
      <c r="S892">
        <v>0</v>
      </c>
    </row>
    <row r="893" spans="1:19">
      <c r="A893" t="s">
        <v>9201</v>
      </c>
      <c r="B893">
        <v>103</v>
      </c>
      <c r="C893" t="s">
        <v>7328</v>
      </c>
      <c r="D893" t="s">
        <v>10879</v>
      </c>
      <c r="E893" t="s">
        <v>10924</v>
      </c>
      <c r="F893" t="s">
        <v>10881</v>
      </c>
      <c r="G893" t="s">
        <v>10925</v>
      </c>
      <c r="H893">
        <v>-2</v>
      </c>
      <c r="I893">
        <v>-1.75</v>
      </c>
      <c r="J893">
        <v>180</v>
      </c>
      <c r="L893" t="s">
        <v>7330</v>
      </c>
      <c r="M893" t="s">
        <v>7330</v>
      </c>
      <c r="N893" s="501">
        <v>6069</v>
      </c>
      <c r="P893">
        <v>0</v>
      </c>
      <c r="Q893" s="501">
        <v>6069</v>
      </c>
      <c r="R893" t="s">
        <v>10714</v>
      </c>
      <c r="S893">
        <v>0</v>
      </c>
    </row>
    <row r="894" spans="1:19">
      <c r="A894" t="s">
        <v>9201</v>
      </c>
      <c r="B894">
        <v>103</v>
      </c>
      <c r="C894" t="s">
        <v>7328</v>
      </c>
      <c r="D894" t="s">
        <v>10879</v>
      </c>
      <c r="E894" t="s">
        <v>10926</v>
      </c>
      <c r="F894" t="s">
        <v>10881</v>
      </c>
      <c r="G894" t="s">
        <v>10927</v>
      </c>
      <c r="H894">
        <v>-2.25</v>
      </c>
      <c r="I894">
        <v>-0.75</v>
      </c>
      <c r="J894">
        <v>180</v>
      </c>
      <c r="L894" t="s">
        <v>7330</v>
      </c>
      <c r="M894" t="s">
        <v>7330</v>
      </c>
      <c r="N894" s="501">
        <v>3437</v>
      </c>
      <c r="P894">
        <v>0</v>
      </c>
      <c r="Q894" s="501">
        <v>3437</v>
      </c>
      <c r="R894" t="s">
        <v>10714</v>
      </c>
      <c r="S894">
        <v>0</v>
      </c>
    </row>
    <row r="895" spans="1:19">
      <c r="A895" t="s">
        <v>9201</v>
      </c>
      <c r="B895">
        <v>103</v>
      </c>
      <c r="C895" t="s">
        <v>7328</v>
      </c>
      <c r="D895" t="s">
        <v>10879</v>
      </c>
      <c r="E895" t="s">
        <v>10928</v>
      </c>
      <c r="F895" t="s">
        <v>10881</v>
      </c>
      <c r="G895" t="s">
        <v>10929</v>
      </c>
      <c r="H895">
        <v>-2.25</v>
      </c>
      <c r="I895">
        <v>-1.25</v>
      </c>
      <c r="J895">
        <v>180</v>
      </c>
      <c r="L895" t="s">
        <v>7330</v>
      </c>
      <c r="M895" t="s">
        <v>7330</v>
      </c>
      <c r="N895" s="501">
        <v>5950</v>
      </c>
      <c r="P895">
        <v>0</v>
      </c>
      <c r="Q895" s="501">
        <v>5950</v>
      </c>
      <c r="R895" t="s">
        <v>10714</v>
      </c>
      <c r="S895">
        <v>0</v>
      </c>
    </row>
    <row r="896" spans="1:19">
      <c r="A896" t="s">
        <v>9201</v>
      </c>
      <c r="B896">
        <v>103</v>
      </c>
      <c r="C896" t="s">
        <v>7328</v>
      </c>
      <c r="D896" t="s">
        <v>10879</v>
      </c>
      <c r="E896" t="s">
        <v>10930</v>
      </c>
      <c r="F896" t="s">
        <v>10881</v>
      </c>
      <c r="G896" t="s">
        <v>10931</v>
      </c>
      <c r="H896">
        <v>-2.25</v>
      </c>
      <c r="I896">
        <v>-1.75</v>
      </c>
      <c r="J896">
        <v>180</v>
      </c>
      <c r="L896" t="s">
        <v>7330</v>
      </c>
      <c r="M896" t="s">
        <v>7330</v>
      </c>
      <c r="N896" s="501">
        <v>2707</v>
      </c>
      <c r="P896">
        <v>0</v>
      </c>
      <c r="Q896" s="501">
        <v>2707</v>
      </c>
      <c r="R896" t="s">
        <v>10714</v>
      </c>
      <c r="S896">
        <v>0</v>
      </c>
    </row>
    <row r="897" spans="1:19">
      <c r="A897" t="s">
        <v>9201</v>
      </c>
      <c r="B897">
        <v>103</v>
      </c>
      <c r="C897" t="s">
        <v>7328</v>
      </c>
      <c r="D897" t="s">
        <v>10879</v>
      </c>
      <c r="E897" t="s">
        <v>10932</v>
      </c>
      <c r="F897" t="s">
        <v>10881</v>
      </c>
      <c r="G897" t="s">
        <v>10933</v>
      </c>
      <c r="H897">
        <v>-2.5</v>
      </c>
      <c r="I897">
        <v>-0.75</v>
      </c>
      <c r="J897">
        <v>180</v>
      </c>
      <c r="L897" t="s">
        <v>7330</v>
      </c>
      <c r="M897" t="s">
        <v>7330</v>
      </c>
      <c r="N897" s="501">
        <v>17125</v>
      </c>
      <c r="P897">
        <v>0</v>
      </c>
      <c r="Q897" s="501">
        <v>17125</v>
      </c>
      <c r="R897" t="s">
        <v>10714</v>
      </c>
      <c r="S897">
        <v>0</v>
      </c>
    </row>
    <row r="898" spans="1:19">
      <c r="A898" t="s">
        <v>9201</v>
      </c>
      <c r="B898">
        <v>103</v>
      </c>
      <c r="C898" t="s">
        <v>7328</v>
      </c>
      <c r="D898" t="s">
        <v>10879</v>
      </c>
      <c r="E898" t="s">
        <v>10934</v>
      </c>
      <c r="F898" t="s">
        <v>10881</v>
      </c>
      <c r="G898" t="s">
        <v>10935</v>
      </c>
      <c r="H898">
        <v>-2.5</v>
      </c>
      <c r="I898">
        <v>-1.25</v>
      </c>
      <c r="J898">
        <v>180</v>
      </c>
      <c r="L898" t="s">
        <v>7330</v>
      </c>
      <c r="M898" t="s">
        <v>7330</v>
      </c>
      <c r="N898" s="501">
        <v>4258</v>
      </c>
      <c r="O898" s="501"/>
      <c r="P898">
        <v>0</v>
      </c>
      <c r="Q898" s="501">
        <v>4258</v>
      </c>
      <c r="R898" t="s">
        <v>10714</v>
      </c>
      <c r="S898">
        <v>0</v>
      </c>
    </row>
    <row r="899" spans="1:19">
      <c r="A899" t="s">
        <v>9201</v>
      </c>
      <c r="B899">
        <v>103</v>
      </c>
      <c r="C899" t="s">
        <v>7328</v>
      </c>
      <c r="D899" t="s">
        <v>10879</v>
      </c>
      <c r="E899" t="s">
        <v>10936</v>
      </c>
      <c r="F899" t="s">
        <v>10881</v>
      </c>
      <c r="G899" t="s">
        <v>10937</v>
      </c>
      <c r="H899">
        <v>-2.5</v>
      </c>
      <c r="I899">
        <v>-1.75</v>
      </c>
      <c r="J899">
        <v>180</v>
      </c>
      <c r="L899" t="s">
        <v>7330</v>
      </c>
      <c r="M899" t="s">
        <v>7330</v>
      </c>
      <c r="N899" s="501">
        <v>4282</v>
      </c>
      <c r="O899" s="501"/>
      <c r="P899">
        <v>0</v>
      </c>
      <c r="Q899" s="501">
        <v>4282</v>
      </c>
      <c r="R899" t="s">
        <v>10714</v>
      </c>
      <c r="S899">
        <v>0</v>
      </c>
    </row>
    <row r="900" spans="1:19">
      <c r="A900" t="s">
        <v>9201</v>
      </c>
      <c r="B900">
        <v>103</v>
      </c>
      <c r="C900" t="s">
        <v>7328</v>
      </c>
      <c r="D900" t="s">
        <v>10879</v>
      </c>
      <c r="E900" t="s">
        <v>10938</v>
      </c>
      <c r="F900" t="s">
        <v>10881</v>
      </c>
      <c r="G900" t="s">
        <v>10939</v>
      </c>
      <c r="H900">
        <v>-2.75</v>
      </c>
      <c r="I900">
        <v>-0.75</v>
      </c>
      <c r="J900">
        <v>180</v>
      </c>
      <c r="L900" t="s">
        <v>7330</v>
      </c>
      <c r="M900" t="s">
        <v>7330</v>
      </c>
      <c r="N900" s="501">
        <v>5175</v>
      </c>
      <c r="O900" s="501"/>
      <c r="P900">
        <v>0</v>
      </c>
      <c r="Q900" s="501">
        <v>5175</v>
      </c>
      <c r="R900" t="s">
        <v>10714</v>
      </c>
      <c r="S900">
        <v>0</v>
      </c>
    </row>
    <row r="901" spans="1:19">
      <c r="A901" t="s">
        <v>9201</v>
      </c>
      <c r="B901">
        <v>103</v>
      </c>
      <c r="C901" t="s">
        <v>7328</v>
      </c>
      <c r="D901" t="s">
        <v>10879</v>
      </c>
      <c r="E901" t="s">
        <v>10940</v>
      </c>
      <c r="F901" t="s">
        <v>10881</v>
      </c>
      <c r="G901" t="s">
        <v>10941</v>
      </c>
      <c r="H901">
        <v>-2.75</v>
      </c>
      <c r="I901">
        <v>-1.25</v>
      </c>
      <c r="J901">
        <v>180</v>
      </c>
      <c r="L901" t="s">
        <v>7330</v>
      </c>
      <c r="M901" t="s">
        <v>7330</v>
      </c>
      <c r="N901" s="501">
        <v>2870</v>
      </c>
      <c r="O901" s="501"/>
      <c r="P901">
        <v>0</v>
      </c>
      <c r="Q901" s="501">
        <v>2870</v>
      </c>
      <c r="R901" t="s">
        <v>10714</v>
      </c>
      <c r="S901">
        <v>0</v>
      </c>
    </row>
    <row r="902" spans="1:19">
      <c r="A902" t="s">
        <v>9201</v>
      </c>
      <c r="B902">
        <v>103</v>
      </c>
      <c r="C902" t="s">
        <v>7328</v>
      </c>
      <c r="D902" t="s">
        <v>10879</v>
      </c>
      <c r="E902" t="s">
        <v>10942</v>
      </c>
      <c r="F902" t="s">
        <v>10881</v>
      </c>
      <c r="G902" t="s">
        <v>10943</v>
      </c>
      <c r="H902">
        <v>-2.75</v>
      </c>
      <c r="I902">
        <v>-1.75</v>
      </c>
      <c r="J902">
        <v>180</v>
      </c>
      <c r="L902" t="s">
        <v>7330</v>
      </c>
      <c r="M902" t="s">
        <v>7330</v>
      </c>
      <c r="N902" s="501">
        <v>4082</v>
      </c>
      <c r="P902">
        <v>0</v>
      </c>
      <c r="Q902" s="501">
        <v>4082</v>
      </c>
      <c r="R902" t="s">
        <v>10714</v>
      </c>
      <c r="S902">
        <v>0</v>
      </c>
    </row>
    <row r="903" spans="1:19">
      <c r="A903" t="s">
        <v>9201</v>
      </c>
      <c r="B903">
        <v>103</v>
      </c>
      <c r="C903" t="s">
        <v>7328</v>
      </c>
      <c r="D903" t="s">
        <v>10879</v>
      </c>
      <c r="E903" t="s">
        <v>10944</v>
      </c>
      <c r="F903" t="s">
        <v>10881</v>
      </c>
      <c r="G903" t="s">
        <v>10647</v>
      </c>
      <c r="H903">
        <v>-3</v>
      </c>
      <c r="I903">
        <v>-0.75</v>
      </c>
      <c r="J903">
        <v>180</v>
      </c>
      <c r="L903" t="s">
        <v>7330</v>
      </c>
      <c r="M903" t="s">
        <v>7330</v>
      </c>
      <c r="N903" s="501">
        <v>10111</v>
      </c>
      <c r="P903">
        <v>0</v>
      </c>
      <c r="Q903" s="501">
        <v>10111</v>
      </c>
      <c r="R903" t="s">
        <v>10714</v>
      </c>
      <c r="S903">
        <v>0</v>
      </c>
    </row>
    <row r="904" spans="1:19">
      <c r="A904" t="s">
        <v>9201</v>
      </c>
      <c r="B904">
        <v>103</v>
      </c>
      <c r="C904" t="s">
        <v>7328</v>
      </c>
      <c r="D904" t="s">
        <v>10879</v>
      </c>
      <c r="E904" t="s">
        <v>10945</v>
      </c>
      <c r="F904" t="s">
        <v>10881</v>
      </c>
      <c r="G904" t="s">
        <v>10946</v>
      </c>
      <c r="H904">
        <v>-3</v>
      </c>
      <c r="I904">
        <v>-1.25</v>
      </c>
      <c r="J904">
        <v>180</v>
      </c>
      <c r="L904" t="s">
        <v>7330</v>
      </c>
      <c r="M904" t="s">
        <v>7330</v>
      </c>
      <c r="N904" s="501">
        <v>3875</v>
      </c>
      <c r="P904">
        <v>0</v>
      </c>
      <c r="Q904" s="501">
        <v>3875</v>
      </c>
      <c r="R904" t="s">
        <v>10714</v>
      </c>
      <c r="S904">
        <v>0</v>
      </c>
    </row>
    <row r="905" spans="1:19">
      <c r="A905" t="s">
        <v>9201</v>
      </c>
      <c r="B905">
        <v>103</v>
      </c>
      <c r="C905" t="s">
        <v>7328</v>
      </c>
      <c r="D905" t="s">
        <v>10879</v>
      </c>
      <c r="E905" t="s">
        <v>10947</v>
      </c>
      <c r="F905" t="s">
        <v>10881</v>
      </c>
      <c r="G905" t="s">
        <v>10948</v>
      </c>
      <c r="H905">
        <v>-3</v>
      </c>
      <c r="I905">
        <v>-1.75</v>
      </c>
      <c r="J905">
        <v>180</v>
      </c>
      <c r="L905" t="s">
        <v>7330</v>
      </c>
      <c r="M905" t="s">
        <v>7330</v>
      </c>
      <c r="N905" s="501">
        <v>12264</v>
      </c>
      <c r="P905">
        <v>0</v>
      </c>
      <c r="Q905" s="501">
        <v>12264</v>
      </c>
      <c r="R905" t="s">
        <v>10714</v>
      </c>
      <c r="S905">
        <v>0</v>
      </c>
    </row>
    <row r="906" spans="1:19">
      <c r="A906" t="s">
        <v>9201</v>
      </c>
      <c r="B906">
        <v>103</v>
      </c>
      <c r="C906" t="s">
        <v>7328</v>
      </c>
      <c r="D906" t="s">
        <v>10879</v>
      </c>
      <c r="E906" t="s">
        <v>10949</v>
      </c>
      <c r="F906" t="s">
        <v>10881</v>
      </c>
      <c r="G906" t="s">
        <v>10950</v>
      </c>
      <c r="H906">
        <v>-3.25</v>
      </c>
      <c r="I906">
        <v>-0.75</v>
      </c>
      <c r="J906">
        <v>180</v>
      </c>
      <c r="L906" t="s">
        <v>7330</v>
      </c>
      <c r="M906" t="s">
        <v>7330</v>
      </c>
      <c r="N906" s="501">
        <v>9396</v>
      </c>
      <c r="P906">
        <v>0</v>
      </c>
      <c r="Q906" s="501">
        <v>9396</v>
      </c>
      <c r="R906" t="s">
        <v>10714</v>
      </c>
      <c r="S906">
        <v>0</v>
      </c>
    </row>
    <row r="907" spans="1:19">
      <c r="A907" t="s">
        <v>9201</v>
      </c>
      <c r="B907">
        <v>103</v>
      </c>
      <c r="C907" t="s">
        <v>7328</v>
      </c>
      <c r="D907" t="s">
        <v>10879</v>
      </c>
      <c r="E907" t="s">
        <v>10951</v>
      </c>
      <c r="F907" t="s">
        <v>10881</v>
      </c>
      <c r="G907" t="s">
        <v>10952</v>
      </c>
      <c r="H907">
        <v>-3.25</v>
      </c>
      <c r="I907">
        <v>-1.25</v>
      </c>
      <c r="J907">
        <v>180</v>
      </c>
      <c r="L907" t="s">
        <v>7330</v>
      </c>
      <c r="M907" t="s">
        <v>7330</v>
      </c>
      <c r="N907" s="501">
        <v>1795</v>
      </c>
      <c r="P907">
        <v>0</v>
      </c>
      <c r="Q907" s="501">
        <v>1795</v>
      </c>
      <c r="R907" t="s">
        <v>10714</v>
      </c>
      <c r="S907">
        <v>0</v>
      </c>
    </row>
    <row r="908" spans="1:19">
      <c r="A908" t="s">
        <v>9201</v>
      </c>
      <c r="B908">
        <v>103</v>
      </c>
      <c r="C908" t="s">
        <v>7328</v>
      </c>
      <c r="D908" t="s">
        <v>10879</v>
      </c>
      <c r="E908" t="s">
        <v>10953</v>
      </c>
      <c r="F908" t="s">
        <v>10881</v>
      </c>
      <c r="G908" t="s">
        <v>10954</v>
      </c>
      <c r="H908">
        <v>-3.25</v>
      </c>
      <c r="I908">
        <v>-1.75</v>
      </c>
      <c r="J908">
        <v>180</v>
      </c>
      <c r="L908" t="s">
        <v>7330</v>
      </c>
      <c r="M908" t="s">
        <v>7330</v>
      </c>
      <c r="N908" s="501">
        <v>5126</v>
      </c>
      <c r="P908">
        <v>0</v>
      </c>
      <c r="Q908" s="501">
        <v>5126</v>
      </c>
      <c r="R908" t="s">
        <v>10714</v>
      </c>
      <c r="S908">
        <v>0</v>
      </c>
    </row>
    <row r="909" spans="1:19">
      <c r="A909" t="s">
        <v>9201</v>
      </c>
      <c r="B909">
        <v>103</v>
      </c>
      <c r="C909" t="s">
        <v>7328</v>
      </c>
      <c r="D909" t="s">
        <v>10879</v>
      </c>
      <c r="E909" t="s">
        <v>10955</v>
      </c>
      <c r="F909" t="s">
        <v>10881</v>
      </c>
      <c r="G909" t="s">
        <v>10956</v>
      </c>
      <c r="H909">
        <v>-3.5</v>
      </c>
      <c r="I909">
        <v>-0.75</v>
      </c>
      <c r="J909">
        <v>180</v>
      </c>
      <c r="L909" t="s">
        <v>7330</v>
      </c>
      <c r="M909" t="s">
        <v>7330</v>
      </c>
      <c r="N909" s="501">
        <v>5513</v>
      </c>
      <c r="P909">
        <v>0</v>
      </c>
      <c r="Q909" s="501">
        <v>5513</v>
      </c>
      <c r="R909" t="s">
        <v>10714</v>
      </c>
      <c r="S909">
        <v>0</v>
      </c>
    </row>
    <row r="910" spans="1:19">
      <c r="A910" t="s">
        <v>9201</v>
      </c>
      <c r="B910">
        <v>103</v>
      </c>
      <c r="C910" t="s">
        <v>7328</v>
      </c>
      <c r="D910" t="s">
        <v>10879</v>
      </c>
      <c r="E910" t="s">
        <v>10957</v>
      </c>
      <c r="F910" t="s">
        <v>10881</v>
      </c>
      <c r="G910" t="s">
        <v>10958</v>
      </c>
      <c r="H910">
        <v>-3.5</v>
      </c>
      <c r="I910">
        <v>-1.25</v>
      </c>
      <c r="J910">
        <v>180</v>
      </c>
      <c r="L910" t="s">
        <v>7330</v>
      </c>
      <c r="M910" t="s">
        <v>7330</v>
      </c>
      <c r="N910" s="501">
        <v>5280</v>
      </c>
      <c r="P910">
        <v>0</v>
      </c>
      <c r="Q910" s="501">
        <v>5280</v>
      </c>
      <c r="R910" t="s">
        <v>10714</v>
      </c>
      <c r="S910">
        <v>0</v>
      </c>
    </row>
    <row r="911" spans="1:19">
      <c r="A911" t="s">
        <v>9201</v>
      </c>
      <c r="B911">
        <v>103</v>
      </c>
      <c r="C911" t="s">
        <v>7328</v>
      </c>
      <c r="D911" t="s">
        <v>10879</v>
      </c>
      <c r="E911" t="s">
        <v>10959</v>
      </c>
      <c r="F911" t="s">
        <v>10881</v>
      </c>
      <c r="G911" t="s">
        <v>10960</v>
      </c>
      <c r="H911">
        <v>-3.5</v>
      </c>
      <c r="I911">
        <v>-1.75</v>
      </c>
      <c r="J911">
        <v>180</v>
      </c>
      <c r="L911" t="s">
        <v>7330</v>
      </c>
      <c r="M911" t="s">
        <v>7330</v>
      </c>
      <c r="N911" s="501">
        <v>6206</v>
      </c>
      <c r="P911">
        <v>0</v>
      </c>
      <c r="Q911" s="501">
        <v>6206</v>
      </c>
      <c r="R911" t="s">
        <v>10714</v>
      </c>
      <c r="S911">
        <v>0</v>
      </c>
    </row>
    <row r="912" spans="1:19">
      <c r="A912" t="s">
        <v>9201</v>
      </c>
      <c r="B912">
        <v>103</v>
      </c>
      <c r="C912" t="s">
        <v>7328</v>
      </c>
      <c r="D912" t="s">
        <v>10879</v>
      </c>
      <c r="E912" t="s">
        <v>10961</v>
      </c>
      <c r="F912" t="s">
        <v>10881</v>
      </c>
      <c r="G912" t="s">
        <v>10962</v>
      </c>
      <c r="H912">
        <v>-3.75</v>
      </c>
      <c r="I912">
        <v>-0.75</v>
      </c>
      <c r="J912">
        <v>180</v>
      </c>
      <c r="L912" t="s">
        <v>7330</v>
      </c>
      <c r="M912" t="s">
        <v>7330</v>
      </c>
      <c r="N912" s="501">
        <v>2614</v>
      </c>
      <c r="P912">
        <v>0</v>
      </c>
      <c r="Q912" s="501">
        <v>2614</v>
      </c>
      <c r="R912" t="s">
        <v>10714</v>
      </c>
      <c r="S912">
        <v>0</v>
      </c>
    </row>
    <row r="913" spans="1:19">
      <c r="A913" t="s">
        <v>9201</v>
      </c>
      <c r="B913">
        <v>103</v>
      </c>
      <c r="C913" t="s">
        <v>7328</v>
      </c>
      <c r="D913" t="s">
        <v>10879</v>
      </c>
      <c r="E913" t="s">
        <v>10963</v>
      </c>
      <c r="F913" t="s">
        <v>10881</v>
      </c>
      <c r="G913" t="s">
        <v>10964</v>
      </c>
      <c r="H913">
        <v>-3.75</v>
      </c>
      <c r="I913">
        <v>-1.25</v>
      </c>
      <c r="J913">
        <v>180</v>
      </c>
      <c r="L913" t="s">
        <v>7330</v>
      </c>
      <c r="M913" t="s">
        <v>7330</v>
      </c>
      <c r="N913" s="501">
        <v>7468</v>
      </c>
      <c r="P913">
        <v>0</v>
      </c>
      <c r="Q913" s="501">
        <v>7468</v>
      </c>
      <c r="R913" t="s">
        <v>10714</v>
      </c>
      <c r="S913">
        <v>0</v>
      </c>
    </row>
    <row r="914" spans="1:19">
      <c r="A914" t="s">
        <v>9201</v>
      </c>
      <c r="B914">
        <v>103</v>
      </c>
      <c r="C914" t="s">
        <v>7328</v>
      </c>
      <c r="D914" t="s">
        <v>10879</v>
      </c>
      <c r="E914" t="s">
        <v>10965</v>
      </c>
      <c r="F914" t="s">
        <v>10881</v>
      </c>
      <c r="G914" t="s">
        <v>10966</v>
      </c>
      <c r="H914">
        <v>-3.75</v>
      </c>
      <c r="I914">
        <v>-1.75</v>
      </c>
      <c r="J914">
        <v>180</v>
      </c>
      <c r="L914" t="s">
        <v>7330</v>
      </c>
      <c r="M914" t="s">
        <v>7330</v>
      </c>
      <c r="N914" s="501">
        <v>11836</v>
      </c>
      <c r="P914">
        <v>0</v>
      </c>
      <c r="Q914" s="501">
        <v>11836</v>
      </c>
      <c r="R914" t="s">
        <v>10714</v>
      </c>
      <c r="S914">
        <v>0</v>
      </c>
    </row>
    <row r="915" spans="1:19">
      <c r="A915" t="s">
        <v>9201</v>
      </c>
      <c r="B915">
        <v>103</v>
      </c>
      <c r="C915" t="s">
        <v>7328</v>
      </c>
      <c r="D915" t="s">
        <v>10879</v>
      </c>
      <c r="E915" t="s">
        <v>10967</v>
      </c>
      <c r="F915" t="s">
        <v>10881</v>
      </c>
      <c r="G915" t="s">
        <v>10968</v>
      </c>
      <c r="H915">
        <v>-4</v>
      </c>
      <c r="I915">
        <v>-0.75</v>
      </c>
      <c r="J915">
        <v>180</v>
      </c>
      <c r="L915" t="s">
        <v>7330</v>
      </c>
      <c r="M915" t="s">
        <v>7330</v>
      </c>
      <c r="N915" s="501">
        <v>2326</v>
      </c>
      <c r="P915">
        <v>0</v>
      </c>
      <c r="Q915" s="501">
        <v>2326</v>
      </c>
      <c r="R915" t="s">
        <v>10714</v>
      </c>
      <c r="S915">
        <v>0</v>
      </c>
    </row>
    <row r="916" spans="1:19">
      <c r="A916" t="s">
        <v>9201</v>
      </c>
      <c r="B916">
        <v>103</v>
      </c>
      <c r="C916" t="s">
        <v>7328</v>
      </c>
      <c r="D916" t="s">
        <v>10879</v>
      </c>
      <c r="E916" t="s">
        <v>10969</v>
      </c>
      <c r="F916" t="s">
        <v>10881</v>
      </c>
      <c r="G916" t="s">
        <v>10970</v>
      </c>
      <c r="H916">
        <v>-4</v>
      </c>
      <c r="I916">
        <v>-1.25</v>
      </c>
      <c r="J916">
        <v>180</v>
      </c>
      <c r="L916" t="s">
        <v>7330</v>
      </c>
      <c r="M916" t="s">
        <v>7330</v>
      </c>
      <c r="N916" s="501">
        <v>10839</v>
      </c>
      <c r="P916">
        <v>0</v>
      </c>
      <c r="Q916" s="501">
        <v>10839</v>
      </c>
      <c r="R916" t="s">
        <v>10714</v>
      </c>
      <c r="S916">
        <v>0</v>
      </c>
    </row>
    <row r="917" spans="1:19">
      <c r="A917" t="s">
        <v>9201</v>
      </c>
      <c r="B917">
        <v>103</v>
      </c>
      <c r="C917" t="s">
        <v>7328</v>
      </c>
      <c r="D917" t="s">
        <v>10879</v>
      </c>
      <c r="E917" t="s">
        <v>10971</v>
      </c>
      <c r="F917" t="s">
        <v>10881</v>
      </c>
      <c r="G917" t="s">
        <v>10972</v>
      </c>
      <c r="H917">
        <v>-4</v>
      </c>
      <c r="I917">
        <v>-1.75</v>
      </c>
      <c r="J917">
        <v>180</v>
      </c>
      <c r="L917" t="s">
        <v>7330</v>
      </c>
      <c r="M917" t="s">
        <v>7330</v>
      </c>
      <c r="N917" s="501">
        <v>5066</v>
      </c>
      <c r="P917">
        <v>0</v>
      </c>
      <c r="Q917" s="501">
        <v>5066</v>
      </c>
      <c r="R917" t="s">
        <v>10714</v>
      </c>
      <c r="S917">
        <v>0</v>
      </c>
    </row>
    <row r="918" spans="1:19">
      <c r="A918" t="s">
        <v>9201</v>
      </c>
      <c r="B918">
        <v>103</v>
      </c>
      <c r="C918" t="s">
        <v>7328</v>
      </c>
      <c r="D918" t="s">
        <v>10879</v>
      </c>
      <c r="E918" t="s">
        <v>10973</v>
      </c>
      <c r="F918" t="s">
        <v>10881</v>
      </c>
      <c r="G918" t="s">
        <v>10974</v>
      </c>
      <c r="H918">
        <v>-4.25</v>
      </c>
      <c r="I918">
        <v>-0.75</v>
      </c>
      <c r="J918">
        <v>180</v>
      </c>
      <c r="L918" t="s">
        <v>7330</v>
      </c>
      <c r="M918" t="s">
        <v>7330</v>
      </c>
      <c r="N918" s="501">
        <v>5976</v>
      </c>
      <c r="P918">
        <v>0</v>
      </c>
      <c r="Q918" s="501">
        <v>5976</v>
      </c>
      <c r="R918" t="s">
        <v>10714</v>
      </c>
      <c r="S918">
        <v>0</v>
      </c>
    </row>
    <row r="919" spans="1:19">
      <c r="A919" t="s">
        <v>9201</v>
      </c>
      <c r="B919">
        <v>103</v>
      </c>
      <c r="C919" t="s">
        <v>7328</v>
      </c>
      <c r="D919" t="s">
        <v>10879</v>
      </c>
      <c r="E919" t="s">
        <v>10975</v>
      </c>
      <c r="F919" t="s">
        <v>10881</v>
      </c>
      <c r="G919" t="s">
        <v>10976</v>
      </c>
      <c r="H919">
        <v>-4.25</v>
      </c>
      <c r="I919">
        <v>-1.25</v>
      </c>
      <c r="J919">
        <v>180</v>
      </c>
      <c r="L919" t="s">
        <v>7330</v>
      </c>
      <c r="M919" t="s">
        <v>7330</v>
      </c>
      <c r="N919" s="501">
        <v>2568</v>
      </c>
      <c r="P919">
        <v>0</v>
      </c>
      <c r="Q919" s="501">
        <v>2568</v>
      </c>
      <c r="R919" t="s">
        <v>10714</v>
      </c>
      <c r="S919">
        <v>0</v>
      </c>
    </row>
    <row r="920" spans="1:19">
      <c r="A920" t="s">
        <v>9201</v>
      </c>
      <c r="B920">
        <v>103</v>
      </c>
      <c r="C920" t="s">
        <v>7328</v>
      </c>
      <c r="D920" t="s">
        <v>10879</v>
      </c>
      <c r="E920" t="s">
        <v>10977</v>
      </c>
      <c r="F920" t="s">
        <v>10881</v>
      </c>
      <c r="G920" t="s">
        <v>10978</v>
      </c>
      <c r="H920">
        <v>-4.25</v>
      </c>
      <c r="I920">
        <v>-1.75</v>
      </c>
      <c r="J920">
        <v>180</v>
      </c>
      <c r="L920" t="s">
        <v>7330</v>
      </c>
      <c r="M920" t="s">
        <v>7330</v>
      </c>
      <c r="N920" s="501">
        <v>8241</v>
      </c>
      <c r="P920">
        <v>0</v>
      </c>
      <c r="Q920" s="501">
        <v>8241</v>
      </c>
      <c r="R920" t="s">
        <v>10714</v>
      </c>
      <c r="S920">
        <v>0</v>
      </c>
    </row>
    <row r="921" spans="1:19">
      <c r="A921" t="s">
        <v>9201</v>
      </c>
      <c r="B921">
        <v>103</v>
      </c>
      <c r="C921" t="s">
        <v>7328</v>
      </c>
      <c r="D921" t="s">
        <v>10879</v>
      </c>
      <c r="E921" t="s">
        <v>10979</v>
      </c>
      <c r="F921" t="s">
        <v>10881</v>
      </c>
      <c r="G921" t="s">
        <v>10980</v>
      </c>
      <c r="H921">
        <v>-4.5</v>
      </c>
      <c r="I921">
        <v>-0.75</v>
      </c>
      <c r="J921">
        <v>180</v>
      </c>
      <c r="L921" t="s">
        <v>7330</v>
      </c>
      <c r="M921" t="s">
        <v>7330</v>
      </c>
      <c r="N921" s="501">
        <v>4692</v>
      </c>
      <c r="P921">
        <v>0</v>
      </c>
      <c r="Q921" s="501">
        <v>4692</v>
      </c>
      <c r="R921" t="s">
        <v>10714</v>
      </c>
      <c r="S921">
        <v>0</v>
      </c>
    </row>
    <row r="922" spans="1:19">
      <c r="A922" t="s">
        <v>9201</v>
      </c>
      <c r="B922">
        <v>103</v>
      </c>
      <c r="C922" t="s">
        <v>7328</v>
      </c>
      <c r="D922" t="s">
        <v>10879</v>
      </c>
      <c r="E922" t="s">
        <v>10981</v>
      </c>
      <c r="F922" t="s">
        <v>10881</v>
      </c>
      <c r="G922" t="s">
        <v>10982</v>
      </c>
      <c r="H922">
        <v>-4.5</v>
      </c>
      <c r="I922">
        <v>-1.25</v>
      </c>
      <c r="J922">
        <v>180</v>
      </c>
      <c r="L922" t="s">
        <v>7330</v>
      </c>
      <c r="M922" t="s">
        <v>7330</v>
      </c>
      <c r="N922" s="501">
        <v>8317</v>
      </c>
      <c r="P922">
        <v>0</v>
      </c>
      <c r="Q922" s="501">
        <v>8317</v>
      </c>
      <c r="R922" t="s">
        <v>10714</v>
      </c>
      <c r="S922">
        <v>0</v>
      </c>
    </row>
    <row r="923" spans="1:19">
      <c r="A923" t="s">
        <v>9201</v>
      </c>
      <c r="B923">
        <v>103</v>
      </c>
      <c r="C923" t="s">
        <v>7328</v>
      </c>
      <c r="D923" t="s">
        <v>10879</v>
      </c>
      <c r="E923" t="s">
        <v>10983</v>
      </c>
      <c r="F923" t="s">
        <v>10881</v>
      </c>
      <c r="G923" t="s">
        <v>10984</v>
      </c>
      <c r="H923">
        <v>-4.5</v>
      </c>
      <c r="I923">
        <v>-1.75</v>
      </c>
      <c r="J923">
        <v>180</v>
      </c>
      <c r="L923" t="s">
        <v>7330</v>
      </c>
      <c r="M923" t="s">
        <v>7330</v>
      </c>
      <c r="N923" s="501">
        <v>10218</v>
      </c>
      <c r="P923">
        <v>0</v>
      </c>
      <c r="Q923" s="501">
        <v>10218</v>
      </c>
      <c r="R923" t="s">
        <v>10714</v>
      </c>
      <c r="S923">
        <v>0</v>
      </c>
    </row>
    <row r="924" spans="1:19">
      <c r="A924" t="s">
        <v>9201</v>
      </c>
      <c r="B924">
        <v>103</v>
      </c>
      <c r="C924" t="s">
        <v>7328</v>
      </c>
      <c r="D924" t="s">
        <v>10879</v>
      </c>
      <c r="E924" t="s">
        <v>10985</v>
      </c>
      <c r="F924" t="s">
        <v>10881</v>
      </c>
      <c r="G924" t="s">
        <v>10986</v>
      </c>
      <c r="H924">
        <v>-4.75</v>
      </c>
      <c r="I924">
        <v>-0.75</v>
      </c>
      <c r="J924">
        <v>180</v>
      </c>
      <c r="L924" t="s">
        <v>7330</v>
      </c>
      <c r="M924" t="s">
        <v>7330</v>
      </c>
      <c r="N924" s="501">
        <v>6693</v>
      </c>
      <c r="P924">
        <v>0</v>
      </c>
      <c r="Q924" s="501">
        <v>6693</v>
      </c>
      <c r="R924" t="s">
        <v>10714</v>
      </c>
      <c r="S924">
        <v>0</v>
      </c>
    </row>
    <row r="925" spans="1:19">
      <c r="A925" t="s">
        <v>9201</v>
      </c>
      <c r="B925">
        <v>103</v>
      </c>
      <c r="C925" t="s">
        <v>7328</v>
      </c>
      <c r="D925" t="s">
        <v>10879</v>
      </c>
      <c r="E925" t="s">
        <v>10987</v>
      </c>
      <c r="F925" t="s">
        <v>10881</v>
      </c>
      <c r="G925" t="s">
        <v>10988</v>
      </c>
      <c r="H925">
        <v>-4.75</v>
      </c>
      <c r="I925">
        <v>-1.25</v>
      </c>
      <c r="J925">
        <v>180</v>
      </c>
      <c r="L925" t="s">
        <v>7330</v>
      </c>
      <c r="M925" t="s">
        <v>7330</v>
      </c>
      <c r="N925" s="501">
        <v>8127</v>
      </c>
      <c r="P925">
        <v>0</v>
      </c>
      <c r="Q925" s="501">
        <v>8127</v>
      </c>
      <c r="R925" t="s">
        <v>10714</v>
      </c>
      <c r="S925">
        <v>0</v>
      </c>
    </row>
    <row r="926" spans="1:19">
      <c r="A926" t="s">
        <v>9201</v>
      </c>
      <c r="B926">
        <v>103</v>
      </c>
      <c r="C926" t="s">
        <v>7328</v>
      </c>
      <c r="D926" t="s">
        <v>10879</v>
      </c>
      <c r="E926" t="s">
        <v>10989</v>
      </c>
      <c r="F926" t="s">
        <v>10881</v>
      </c>
      <c r="G926" t="s">
        <v>10990</v>
      </c>
      <c r="H926">
        <v>-4.75</v>
      </c>
      <c r="I926">
        <v>-1.75</v>
      </c>
      <c r="J926">
        <v>180</v>
      </c>
      <c r="L926" t="s">
        <v>7330</v>
      </c>
      <c r="M926" t="s">
        <v>7330</v>
      </c>
      <c r="N926" s="501">
        <v>11290</v>
      </c>
      <c r="P926">
        <v>0</v>
      </c>
      <c r="Q926" s="501">
        <v>11290</v>
      </c>
      <c r="R926" t="s">
        <v>10714</v>
      </c>
      <c r="S926">
        <v>0</v>
      </c>
    </row>
    <row r="927" spans="1:19">
      <c r="A927" t="s">
        <v>9201</v>
      </c>
      <c r="B927">
        <v>103</v>
      </c>
      <c r="C927" t="s">
        <v>7328</v>
      </c>
      <c r="D927" t="s">
        <v>10879</v>
      </c>
      <c r="E927" t="s">
        <v>10991</v>
      </c>
      <c r="F927" t="s">
        <v>10881</v>
      </c>
      <c r="G927" t="s">
        <v>10649</v>
      </c>
      <c r="H927">
        <v>-5</v>
      </c>
      <c r="I927">
        <v>-0.75</v>
      </c>
      <c r="J927">
        <v>180</v>
      </c>
      <c r="L927" t="s">
        <v>7330</v>
      </c>
      <c r="M927" t="s">
        <v>7330</v>
      </c>
      <c r="N927" s="501">
        <v>6998</v>
      </c>
      <c r="P927">
        <v>0</v>
      </c>
      <c r="Q927" s="501">
        <v>6998</v>
      </c>
      <c r="R927" t="s">
        <v>10714</v>
      </c>
      <c r="S927">
        <v>0</v>
      </c>
    </row>
    <row r="928" spans="1:19">
      <c r="A928" t="s">
        <v>9201</v>
      </c>
      <c r="B928">
        <v>103</v>
      </c>
      <c r="C928" t="s">
        <v>7328</v>
      </c>
      <c r="D928" t="s">
        <v>10879</v>
      </c>
      <c r="E928" t="s">
        <v>10992</v>
      </c>
      <c r="F928" t="s">
        <v>10881</v>
      </c>
      <c r="G928" t="s">
        <v>10993</v>
      </c>
      <c r="H928">
        <v>-5</v>
      </c>
      <c r="I928">
        <v>-1.25</v>
      </c>
      <c r="J928">
        <v>180</v>
      </c>
      <c r="L928" t="s">
        <v>7330</v>
      </c>
      <c r="M928" t="s">
        <v>7330</v>
      </c>
      <c r="N928" s="501">
        <v>8768</v>
      </c>
      <c r="P928">
        <v>0</v>
      </c>
      <c r="Q928" s="501">
        <v>8768</v>
      </c>
      <c r="R928" t="s">
        <v>10714</v>
      </c>
      <c r="S928">
        <v>0</v>
      </c>
    </row>
    <row r="929" spans="1:19">
      <c r="A929" t="s">
        <v>9201</v>
      </c>
      <c r="B929">
        <v>103</v>
      </c>
      <c r="C929" t="s">
        <v>7328</v>
      </c>
      <c r="D929" t="s">
        <v>10879</v>
      </c>
      <c r="E929" t="s">
        <v>10994</v>
      </c>
      <c r="F929" t="s">
        <v>10881</v>
      </c>
      <c r="G929" t="s">
        <v>10995</v>
      </c>
      <c r="H929">
        <v>-5</v>
      </c>
      <c r="I929">
        <v>-1.75</v>
      </c>
      <c r="J929">
        <v>180</v>
      </c>
      <c r="L929" t="s">
        <v>7330</v>
      </c>
      <c r="M929" t="s">
        <v>7330</v>
      </c>
      <c r="N929" s="501">
        <v>10389</v>
      </c>
      <c r="P929">
        <v>0</v>
      </c>
      <c r="Q929" s="501">
        <v>10389</v>
      </c>
      <c r="R929" t="s">
        <v>10714</v>
      </c>
      <c r="S929">
        <v>0</v>
      </c>
    </row>
    <row r="930" spans="1:19">
      <c r="A930" t="s">
        <v>9201</v>
      </c>
      <c r="B930">
        <v>103</v>
      </c>
      <c r="C930" t="s">
        <v>7328</v>
      </c>
      <c r="D930" t="s">
        <v>10879</v>
      </c>
      <c r="E930" t="s">
        <v>10996</v>
      </c>
      <c r="F930" t="s">
        <v>10881</v>
      </c>
      <c r="G930" t="s">
        <v>10997</v>
      </c>
      <c r="H930">
        <v>-5.5</v>
      </c>
      <c r="I930">
        <v>-0.75</v>
      </c>
      <c r="J930">
        <v>180</v>
      </c>
      <c r="L930" t="s">
        <v>7330</v>
      </c>
      <c r="M930" t="s">
        <v>7330</v>
      </c>
      <c r="N930" s="501">
        <v>7060</v>
      </c>
      <c r="P930">
        <v>0</v>
      </c>
      <c r="Q930" s="501">
        <v>7060</v>
      </c>
      <c r="R930" t="s">
        <v>10714</v>
      </c>
      <c r="S930">
        <v>0</v>
      </c>
    </row>
    <row r="931" spans="1:19">
      <c r="A931" t="s">
        <v>9201</v>
      </c>
      <c r="B931">
        <v>103</v>
      </c>
      <c r="C931" t="s">
        <v>7328</v>
      </c>
      <c r="D931" t="s">
        <v>10879</v>
      </c>
      <c r="E931" t="s">
        <v>10998</v>
      </c>
      <c r="F931" t="s">
        <v>10881</v>
      </c>
      <c r="G931" t="s">
        <v>10999</v>
      </c>
      <c r="H931">
        <v>-5.5</v>
      </c>
      <c r="I931">
        <v>-1.25</v>
      </c>
      <c r="J931">
        <v>180</v>
      </c>
      <c r="L931" t="s">
        <v>7330</v>
      </c>
      <c r="M931" t="s">
        <v>7330</v>
      </c>
      <c r="N931" s="501">
        <v>7010</v>
      </c>
      <c r="P931">
        <v>0</v>
      </c>
      <c r="Q931" s="501">
        <v>7010</v>
      </c>
      <c r="R931" t="s">
        <v>10714</v>
      </c>
      <c r="S931">
        <v>0</v>
      </c>
    </row>
    <row r="932" spans="1:19">
      <c r="A932" t="s">
        <v>9201</v>
      </c>
      <c r="B932">
        <v>103</v>
      </c>
      <c r="C932" t="s">
        <v>7328</v>
      </c>
      <c r="D932" t="s">
        <v>10879</v>
      </c>
      <c r="E932" t="s">
        <v>11000</v>
      </c>
      <c r="F932" t="s">
        <v>10881</v>
      </c>
      <c r="G932" t="s">
        <v>11001</v>
      </c>
      <c r="H932">
        <v>-5.5</v>
      </c>
      <c r="I932">
        <v>-1.75</v>
      </c>
      <c r="J932">
        <v>180</v>
      </c>
      <c r="L932" t="s">
        <v>7330</v>
      </c>
      <c r="M932" t="s">
        <v>7330</v>
      </c>
      <c r="N932" s="501">
        <v>7497</v>
      </c>
      <c r="P932">
        <v>0</v>
      </c>
      <c r="Q932" s="501">
        <v>7497</v>
      </c>
      <c r="R932" t="s">
        <v>10714</v>
      </c>
      <c r="S932">
        <v>0</v>
      </c>
    </row>
    <row r="933" spans="1:19">
      <c r="A933" t="s">
        <v>9201</v>
      </c>
      <c r="B933">
        <v>103</v>
      </c>
      <c r="C933" t="s">
        <v>7328</v>
      </c>
      <c r="D933" t="s">
        <v>10879</v>
      </c>
      <c r="E933" t="s">
        <v>11002</v>
      </c>
      <c r="F933" t="s">
        <v>10881</v>
      </c>
      <c r="G933" t="s">
        <v>11003</v>
      </c>
      <c r="H933">
        <v>-6</v>
      </c>
      <c r="I933">
        <v>-0.75</v>
      </c>
      <c r="J933">
        <v>180</v>
      </c>
      <c r="L933" t="s">
        <v>7330</v>
      </c>
      <c r="M933" t="s">
        <v>7330</v>
      </c>
      <c r="N933" s="501">
        <v>5922</v>
      </c>
      <c r="P933">
        <v>0</v>
      </c>
      <c r="Q933" s="501">
        <v>5922</v>
      </c>
      <c r="R933" t="s">
        <v>10714</v>
      </c>
      <c r="S933">
        <v>0</v>
      </c>
    </row>
    <row r="934" spans="1:19">
      <c r="A934" t="s">
        <v>9201</v>
      </c>
      <c r="B934">
        <v>103</v>
      </c>
      <c r="C934" t="s">
        <v>7328</v>
      </c>
      <c r="D934" t="s">
        <v>10879</v>
      </c>
      <c r="E934" t="s">
        <v>11004</v>
      </c>
      <c r="F934" t="s">
        <v>10881</v>
      </c>
      <c r="G934" t="s">
        <v>11005</v>
      </c>
      <c r="H934">
        <v>-6</v>
      </c>
      <c r="I934">
        <v>-1.25</v>
      </c>
      <c r="J934">
        <v>180</v>
      </c>
      <c r="L934" t="s">
        <v>7330</v>
      </c>
      <c r="M934" t="s">
        <v>7330</v>
      </c>
      <c r="N934" s="501">
        <v>9406</v>
      </c>
      <c r="P934">
        <v>0</v>
      </c>
      <c r="Q934" s="501">
        <v>9406</v>
      </c>
      <c r="R934" t="s">
        <v>10714</v>
      </c>
      <c r="S934">
        <v>0</v>
      </c>
    </row>
    <row r="935" spans="1:19">
      <c r="A935" t="s">
        <v>9201</v>
      </c>
      <c r="B935">
        <v>103</v>
      </c>
      <c r="C935" t="s">
        <v>7328</v>
      </c>
      <c r="D935" t="s">
        <v>10879</v>
      </c>
      <c r="E935" t="s">
        <v>11006</v>
      </c>
      <c r="F935" t="s">
        <v>10881</v>
      </c>
      <c r="G935" t="s">
        <v>11007</v>
      </c>
      <c r="H935">
        <v>-6</v>
      </c>
      <c r="I935">
        <v>-1.75</v>
      </c>
      <c r="J935">
        <v>180</v>
      </c>
      <c r="L935" t="s">
        <v>7330</v>
      </c>
      <c r="M935" t="s">
        <v>7330</v>
      </c>
      <c r="N935" s="501">
        <v>5258</v>
      </c>
      <c r="P935">
        <v>0</v>
      </c>
      <c r="Q935" s="501">
        <v>5258</v>
      </c>
      <c r="R935" t="s">
        <v>10714</v>
      </c>
      <c r="S935">
        <v>0</v>
      </c>
    </row>
    <row r="936" spans="1:19">
      <c r="A936" t="s">
        <v>9201</v>
      </c>
      <c r="B936">
        <v>103</v>
      </c>
      <c r="C936" t="s">
        <v>7328</v>
      </c>
      <c r="D936" t="s">
        <v>10879</v>
      </c>
      <c r="E936" t="s">
        <v>11008</v>
      </c>
      <c r="F936" t="s">
        <v>10881</v>
      </c>
      <c r="G936" t="s">
        <v>11009</v>
      </c>
      <c r="H936">
        <v>-6.5</v>
      </c>
      <c r="I936">
        <v>-0.75</v>
      </c>
      <c r="J936">
        <v>180</v>
      </c>
      <c r="L936" t="s">
        <v>7330</v>
      </c>
      <c r="M936" t="s">
        <v>7330</v>
      </c>
      <c r="N936" s="501">
        <v>13485</v>
      </c>
      <c r="O936" s="501"/>
      <c r="P936">
        <v>0</v>
      </c>
      <c r="Q936" s="501">
        <v>13485</v>
      </c>
      <c r="R936" t="s">
        <v>10714</v>
      </c>
      <c r="S936">
        <v>0</v>
      </c>
    </row>
    <row r="937" spans="1:19">
      <c r="A937" t="s">
        <v>9201</v>
      </c>
      <c r="B937">
        <v>103</v>
      </c>
      <c r="C937" t="s">
        <v>7328</v>
      </c>
      <c r="D937" t="s">
        <v>10879</v>
      </c>
      <c r="E937" t="s">
        <v>11010</v>
      </c>
      <c r="F937" t="s">
        <v>10881</v>
      </c>
      <c r="G937" t="s">
        <v>11011</v>
      </c>
      <c r="H937">
        <v>-6.5</v>
      </c>
      <c r="I937">
        <v>-1.25</v>
      </c>
      <c r="J937">
        <v>180</v>
      </c>
      <c r="L937" t="s">
        <v>7330</v>
      </c>
      <c r="M937" t="s">
        <v>7330</v>
      </c>
      <c r="N937" s="501">
        <v>11868</v>
      </c>
      <c r="O937" s="501"/>
      <c r="P937">
        <v>0</v>
      </c>
      <c r="Q937" s="501">
        <v>11868</v>
      </c>
      <c r="R937" t="s">
        <v>10714</v>
      </c>
      <c r="S937">
        <v>0</v>
      </c>
    </row>
    <row r="938" spans="1:19">
      <c r="A938" t="s">
        <v>9201</v>
      </c>
      <c r="B938">
        <v>103</v>
      </c>
      <c r="C938" t="s">
        <v>7328</v>
      </c>
      <c r="D938" t="s">
        <v>10879</v>
      </c>
      <c r="E938" t="s">
        <v>11012</v>
      </c>
      <c r="F938" t="s">
        <v>10881</v>
      </c>
      <c r="G938" t="s">
        <v>11013</v>
      </c>
      <c r="H938">
        <v>-6.5</v>
      </c>
      <c r="I938">
        <v>-1.75</v>
      </c>
      <c r="J938">
        <v>180</v>
      </c>
      <c r="L938" t="s">
        <v>7330</v>
      </c>
      <c r="M938" t="s">
        <v>7330</v>
      </c>
      <c r="N938" s="501">
        <v>12619</v>
      </c>
      <c r="O938" s="501"/>
      <c r="P938">
        <v>0</v>
      </c>
      <c r="Q938" s="501">
        <v>12619</v>
      </c>
      <c r="R938" t="s">
        <v>10714</v>
      </c>
      <c r="S938">
        <v>0</v>
      </c>
    </row>
    <row r="939" spans="1:19">
      <c r="A939" t="s">
        <v>9201</v>
      </c>
      <c r="B939">
        <v>103</v>
      </c>
      <c r="C939" t="s">
        <v>7328</v>
      </c>
      <c r="D939" t="s">
        <v>10879</v>
      </c>
      <c r="E939" t="s">
        <v>11014</v>
      </c>
      <c r="F939" t="s">
        <v>10881</v>
      </c>
      <c r="G939" t="s">
        <v>11015</v>
      </c>
      <c r="H939">
        <v>-7</v>
      </c>
      <c r="I939">
        <v>-0.75</v>
      </c>
      <c r="J939">
        <v>180</v>
      </c>
      <c r="L939" t="s">
        <v>7330</v>
      </c>
      <c r="M939" t="s">
        <v>7330</v>
      </c>
      <c r="N939" s="501">
        <v>8318</v>
      </c>
      <c r="O939" s="501"/>
      <c r="P939">
        <v>0</v>
      </c>
      <c r="Q939" s="501">
        <v>8318</v>
      </c>
      <c r="R939" t="s">
        <v>10714</v>
      </c>
      <c r="S939">
        <v>0</v>
      </c>
    </row>
    <row r="940" spans="1:19">
      <c r="A940" t="s">
        <v>9201</v>
      </c>
      <c r="B940">
        <v>103</v>
      </c>
      <c r="C940" t="s">
        <v>7328</v>
      </c>
      <c r="D940" t="s">
        <v>10879</v>
      </c>
      <c r="E940" t="s">
        <v>11016</v>
      </c>
      <c r="F940" t="s">
        <v>10881</v>
      </c>
      <c r="G940" t="s">
        <v>11017</v>
      </c>
      <c r="H940">
        <v>-7</v>
      </c>
      <c r="I940">
        <v>-1.25</v>
      </c>
      <c r="J940">
        <v>180</v>
      </c>
      <c r="L940" t="s">
        <v>7330</v>
      </c>
      <c r="M940" t="s">
        <v>7330</v>
      </c>
      <c r="N940" s="501">
        <v>6714</v>
      </c>
      <c r="O940" s="501"/>
      <c r="P940">
        <v>0</v>
      </c>
      <c r="Q940" s="501">
        <v>6714</v>
      </c>
      <c r="R940" t="s">
        <v>10714</v>
      </c>
      <c r="S940">
        <v>0</v>
      </c>
    </row>
    <row r="941" spans="1:19">
      <c r="A941" t="s">
        <v>9201</v>
      </c>
      <c r="B941">
        <v>103</v>
      </c>
      <c r="C941" t="s">
        <v>7328</v>
      </c>
      <c r="D941" t="s">
        <v>10879</v>
      </c>
      <c r="E941" t="s">
        <v>11018</v>
      </c>
      <c r="F941" t="s">
        <v>10881</v>
      </c>
      <c r="G941" t="s">
        <v>11019</v>
      </c>
      <c r="H941">
        <v>-7</v>
      </c>
      <c r="I941">
        <v>-1.75</v>
      </c>
      <c r="J941">
        <v>180</v>
      </c>
      <c r="L941" t="s">
        <v>7330</v>
      </c>
      <c r="M941" t="s">
        <v>7330</v>
      </c>
      <c r="N941" s="501">
        <v>15265</v>
      </c>
      <c r="O941" s="501"/>
      <c r="P941">
        <v>0</v>
      </c>
      <c r="Q941" s="501">
        <v>15265</v>
      </c>
      <c r="R941" t="s">
        <v>10714</v>
      </c>
      <c r="S941">
        <v>0</v>
      </c>
    </row>
    <row r="942" spans="1:19">
      <c r="A942" t="s">
        <v>9201</v>
      </c>
      <c r="B942">
        <v>103</v>
      </c>
      <c r="C942" t="s">
        <v>7328</v>
      </c>
      <c r="D942" t="s">
        <v>10879</v>
      </c>
      <c r="E942" t="s">
        <v>11020</v>
      </c>
      <c r="F942" t="s">
        <v>10881</v>
      </c>
      <c r="G942" t="s">
        <v>10651</v>
      </c>
      <c r="H942">
        <v>-7.5</v>
      </c>
      <c r="I942">
        <v>-0.75</v>
      </c>
      <c r="J942">
        <v>180</v>
      </c>
      <c r="L942" t="s">
        <v>7330</v>
      </c>
      <c r="M942" t="s">
        <v>7330</v>
      </c>
      <c r="N942" s="501">
        <v>2276</v>
      </c>
      <c r="P942">
        <v>0</v>
      </c>
      <c r="Q942" s="501">
        <v>2276</v>
      </c>
      <c r="R942" t="s">
        <v>10714</v>
      </c>
      <c r="S942">
        <v>0</v>
      </c>
    </row>
    <row r="943" spans="1:19">
      <c r="A943" t="s">
        <v>9201</v>
      </c>
      <c r="B943">
        <v>103</v>
      </c>
      <c r="C943" t="s">
        <v>7328</v>
      </c>
      <c r="D943" t="s">
        <v>10879</v>
      </c>
      <c r="E943" t="s">
        <v>11021</v>
      </c>
      <c r="F943" t="s">
        <v>10881</v>
      </c>
      <c r="G943" t="s">
        <v>11022</v>
      </c>
      <c r="H943">
        <v>-7.5</v>
      </c>
      <c r="I943">
        <v>-1.25</v>
      </c>
      <c r="J943">
        <v>180</v>
      </c>
      <c r="L943" t="s">
        <v>7330</v>
      </c>
      <c r="M943" t="s">
        <v>7330</v>
      </c>
      <c r="N943" s="501">
        <v>922</v>
      </c>
      <c r="P943">
        <v>0</v>
      </c>
      <c r="Q943" s="501">
        <v>922</v>
      </c>
      <c r="R943" t="s">
        <v>10714</v>
      </c>
      <c r="S943">
        <v>0</v>
      </c>
    </row>
    <row r="944" spans="1:19">
      <c r="A944" t="s">
        <v>9201</v>
      </c>
      <c r="B944">
        <v>103</v>
      </c>
      <c r="C944" t="s">
        <v>7328</v>
      </c>
      <c r="D944" t="s">
        <v>10879</v>
      </c>
      <c r="E944" t="s">
        <v>11023</v>
      </c>
      <c r="F944" t="s">
        <v>10881</v>
      </c>
      <c r="G944" t="s">
        <v>11024</v>
      </c>
      <c r="H944">
        <v>-7.5</v>
      </c>
      <c r="I944">
        <v>-1.75</v>
      </c>
      <c r="J944">
        <v>180</v>
      </c>
      <c r="L944" t="s">
        <v>7330</v>
      </c>
      <c r="M944" t="s">
        <v>7330</v>
      </c>
      <c r="N944" s="501">
        <v>2210</v>
      </c>
      <c r="P944">
        <v>0</v>
      </c>
      <c r="Q944" s="501">
        <v>2210</v>
      </c>
      <c r="R944" t="s">
        <v>10714</v>
      </c>
      <c r="S944">
        <v>0</v>
      </c>
    </row>
    <row r="945" spans="1:19">
      <c r="A945" t="s">
        <v>9201</v>
      </c>
      <c r="B945">
        <v>103</v>
      </c>
      <c r="C945" t="s">
        <v>7328</v>
      </c>
      <c r="D945" t="s">
        <v>10879</v>
      </c>
      <c r="E945" t="s">
        <v>11025</v>
      </c>
      <c r="F945" t="s">
        <v>10881</v>
      </c>
      <c r="G945" t="s">
        <v>11026</v>
      </c>
      <c r="H945">
        <v>-8</v>
      </c>
      <c r="I945">
        <v>-0.75</v>
      </c>
      <c r="J945">
        <v>180</v>
      </c>
      <c r="L945" t="s">
        <v>7330</v>
      </c>
      <c r="M945" t="s">
        <v>7330</v>
      </c>
      <c r="N945" s="501">
        <v>2142</v>
      </c>
      <c r="P945">
        <v>0</v>
      </c>
      <c r="Q945" s="501">
        <v>2142</v>
      </c>
      <c r="R945" t="s">
        <v>10714</v>
      </c>
      <c r="S945">
        <v>0</v>
      </c>
    </row>
    <row r="946" spans="1:19">
      <c r="A946" t="s">
        <v>9201</v>
      </c>
      <c r="B946">
        <v>103</v>
      </c>
      <c r="C946" t="s">
        <v>7328</v>
      </c>
      <c r="D946" t="s">
        <v>10879</v>
      </c>
      <c r="E946" t="s">
        <v>11027</v>
      </c>
      <c r="F946" t="s">
        <v>10881</v>
      </c>
      <c r="G946" t="s">
        <v>11028</v>
      </c>
      <c r="H946">
        <v>-8</v>
      </c>
      <c r="I946">
        <v>-1.25</v>
      </c>
      <c r="J946">
        <v>180</v>
      </c>
      <c r="L946" t="s">
        <v>7330</v>
      </c>
      <c r="M946" t="s">
        <v>7330</v>
      </c>
      <c r="N946" s="501">
        <v>6</v>
      </c>
      <c r="P946">
        <v>0</v>
      </c>
      <c r="Q946" s="501">
        <v>6</v>
      </c>
      <c r="R946" t="s">
        <v>10714</v>
      </c>
      <c r="S946">
        <v>0</v>
      </c>
    </row>
    <row r="947" spans="1:19">
      <c r="A947" t="s">
        <v>9201</v>
      </c>
      <c r="B947">
        <v>103</v>
      </c>
      <c r="C947" t="s">
        <v>7328</v>
      </c>
      <c r="D947" t="s">
        <v>10879</v>
      </c>
      <c r="E947" t="s">
        <v>11029</v>
      </c>
      <c r="F947" t="s">
        <v>10881</v>
      </c>
      <c r="G947" t="s">
        <v>11030</v>
      </c>
      <c r="H947">
        <v>-8</v>
      </c>
      <c r="I947">
        <v>-1.75</v>
      </c>
      <c r="J947">
        <v>180</v>
      </c>
      <c r="L947" t="s">
        <v>7330</v>
      </c>
      <c r="M947" t="s">
        <v>7330</v>
      </c>
      <c r="N947" s="501">
        <v>1084</v>
      </c>
      <c r="P947">
        <v>0</v>
      </c>
      <c r="Q947" s="501">
        <v>1084</v>
      </c>
      <c r="R947" t="s">
        <v>10714</v>
      </c>
      <c r="S947">
        <v>0</v>
      </c>
    </row>
    <row r="948" spans="1:19">
      <c r="A948" t="s">
        <v>9201</v>
      </c>
      <c r="B948">
        <v>103</v>
      </c>
      <c r="C948" t="s">
        <v>7328</v>
      </c>
      <c r="D948" t="s">
        <v>10879</v>
      </c>
      <c r="E948" t="s">
        <v>11031</v>
      </c>
      <c r="F948" t="s">
        <v>10881</v>
      </c>
      <c r="G948" t="s">
        <v>11032</v>
      </c>
      <c r="H948">
        <v>-8.5</v>
      </c>
      <c r="I948">
        <v>-0.75</v>
      </c>
      <c r="J948">
        <v>180</v>
      </c>
      <c r="L948" t="s">
        <v>7330</v>
      </c>
      <c r="M948" t="s">
        <v>7330</v>
      </c>
      <c r="N948" s="501">
        <v>937</v>
      </c>
      <c r="P948">
        <v>0</v>
      </c>
      <c r="Q948" s="501">
        <v>937</v>
      </c>
      <c r="R948" t="s">
        <v>10714</v>
      </c>
      <c r="S948">
        <v>0</v>
      </c>
    </row>
    <row r="949" spans="1:19">
      <c r="A949" t="s">
        <v>9201</v>
      </c>
      <c r="B949">
        <v>103</v>
      </c>
      <c r="C949" t="s">
        <v>7328</v>
      </c>
      <c r="D949" t="s">
        <v>10879</v>
      </c>
      <c r="E949" t="s">
        <v>11033</v>
      </c>
      <c r="F949" t="s">
        <v>10881</v>
      </c>
      <c r="G949" t="s">
        <v>11034</v>
      </c>
      <c r="H949">
        <v>-8.5</v>
      </c>
      <c r="I949">
        <v>-1.25</v>
      </c>
      <c r="J949">
        <v>180</v>
      </c>
      <c r="L949" t="s">
        <v>7330</v>
      </c>
      <c r="M949" t="s">
        <v>7330</v>
      </c>
      <c r="N949" s="501">
        <v>2</v>
      </c>
      <c r="P949">
        <v>0</v>
      </c>
      <c r="Q949" s="501">
        <v>2</v>
      </c>
      <c r="R949" t="s">
        <v>10714</v>
      </c>
      <c r="S949">
        <v>0</v>
      </c>
    </row>
    <row r="950" spans="1:19">
      <c r="A950" t="s">
        <v>9201</v>
      </c>
      <c r="B950">
        <v>103</v>
      </c>
      <c r="C950" t="s">
        <v>7328</v>
      </c>
      <c r="D950" t="s">
        <v>10879</v>
      </c>
      <c r="E950" t="s">
        <v>11035</v>
      </c>
      <c r="F950" t="s">
        <v>10881</v>
      </c>
      <c r="G950" t="s">
        <v>11036</v>
      </c>
      <c r="H950">
        <v>-8.5</v>
      </c>
      <c r="I950">
        <v>-1.75</v>
      </c>
      <c r="J950">
        <v>180</v>
      </c>
      <c r="L950" t="s">
        <v>7330</v>
      </c>
      <c r="M950" t="s">
        <v>7330</v>
      </c>
      <c r="N950" s="501">
        <v>1664</v>
      </c>
      <c r="P950">
        <v>0</v>
      </c>
      <c r="Q950" s="501">
        <v>1664</v>
      </c>
      <c r="R950" t="s">
        <v>10714</v>
      </c>
      <c r="S950">
        <v>0</v>
      </c>
    </row>
    <row r="951" spans="1:19">
      <c r="A951" t="s">
        <v>9201</v>
      </c>
      <c r="B951">
        <v>103</v>
      </c>
      <c r="C951" t="s">
        <v>7328</v>
      </c>
      <c r="D951" t="s">
        <v>10879</v>
      </c>
      <c r="E951" t="s">
        <v>11037</v>
      </c>
      <c r="F951" t="s">
        <v>10881</v>
      </c>
      <c r="G951" t="s">
        <v>11038</v>
      </c>
      <c r="H951">
        <v>-9</v>
      </c>
      <c r="I951">
        <v>-1.25</v>
      </c>
      <c r="J951">
        <v>180</v>
      </c>
      <c r="L951" t="s">
        <v>7330</v>
      </c>
      <c r="M951" t="s">
        <v>7330</v>
      </c>
      <c r="N951" s="501">
        <v>896</v>
      </c>
      <c r="P951">
        <v>0</v>
      </c>
      <c r="Q951" s="501">
        <v>896</v>
      </c>
      <c r="R951" t="s">
        <v>10714</v>
      </c>
      <c r="S951">
        <v>0</v>
      </c>
    </row>
    <row r="952" spans="1:19">
      <c r="A952" t="s">
        <v>9201</v>
      </c>
      <c r="B952">
        <v>103</v>
      </c>
      <c r="C952" t="s">
        <v>7328</v>
      </c>
      <c r="D952" t="s">
        <v>10879</v>
      </c>
      <c r="E952" t="s">
        <v>11039</v>
      </c>
      <c r="F952" t="s">
        <v>10881</v>
      </c>
      <c r="G952" t="s">
        <v>11040</v>
      </c>
      <c r="H952">
        <v>-9</v>
      </c>
      <c r="I952">
        <v>-1.75</v>
      </c>
      <c r="J952">
        <v>180</v>
      </c>
      <c r="L952" t="s">
        <v>7330</v>
      </c>
      <c r="M952" t="s">
        <v>7330</v>
      </c>
      <c r="N952" s="501">
        <v>1696</v>
      </c>
      <c r="P952">
        <v>0</v>
      </c>
      <c r="Q952" s="501">
        <v>1696</v>
      </c>
      <c r="R952" t="s">
        <v>10714</v>
      </c>
      <c r="S952">
        <v>0</v>
      </c>
    </row>
    <row r="953" spans="1:19">
      <c r="A953" t="s">
        <v>9201</v>
      </c>
      <c r="B953">
        <v>103</v>
      </c>
      <c r="C953" t="s">
        <v>7328</v>
      </c>
      <c r="D953" t="s">
        <v>11041</v>
      </c>
      <c r="E953" t="s">
        <v>11042</v>
      </c>
      <c r="F953" t="s">
        <v>11043</v>
      </c>
      <c r="G953" t="s">
        <v>9836</v>
      </c>
      <c r="H953">
        <v>-0.5</v>
      </c>
      <c r="L953" t="s">
        <v>7330</v>
      </c>
      <c r="M953" t="s">
        <v>7330</v>
      </c>
      <c r="N953" s="501">
        <v>9273</v>
      </c>
      <c r="P953">
        <v>0</v>
      </c>
      <c r="Q953" s="501">
        <v>9273</v>
      </c>
      <c r="R953" t="s">
        <v>7332</v>
      </c>
      <c r="S953">
        <v>0</v>
      </c>
    </row>
    <row r="954" spans="1:19">
      <c r="A954" t="s">
        <v>9201</v>
      </c>
      <c r="B954">
        <v>103</v>
      </c>
      <c r="C954" t="s">
        <v>7328</v>
      </c>
      <c r="D954" t="s">
        <v>11041</v>
      </c>
      <c r="E954" t="s">
        <v>11044</v>
      </c>
      <c r="F954" t="s">
        <v>11043</v>
      </c>
      <c r="G954" t="s">
        <v>9847</v>
      </c>
      <c r="H954">
        <v>-0.75</v>
      </c>
      <c r="L954" t="s">
        <v>7330</v>
      </c>
      <c r="M954" t="s">
        <v>7330</v>
      </c>
      <c r="N954" s="501">
        <v>16620</v>
      </c>
      <c r="P954">
        <v>0</v>
      </c>
      <c r="Q954" s="501">
        <v>16620</v>
      </c>
      <c r="R954" t="s">
        <v>7332</v>
      </c>
      <c r="S954">
        <v>0</v>
      </c>
    </row>
    <row r="955" spans="1:19">
      <c r="A955" t="s">
        <v>9201</v>
      </c>
      <c r="B955">
        <v>103</v>
      </c>
      <c r="C955" t="s">
        <v>7328</v>
      </c>
      <c r="D955" t="s">
        <v>11041</v>
      </c>
      <c r="E955" t="s">
        <v>11045</v>
      </c>
      <c r="F955" t="s">
        <v>11043</v>
      </c>
      <c r="G955" t="s">
        <v>9866</v>
      </c>
      <c r="H955">
        <v>-1</v>
      </c>
      <c r="L955" t="s">
        <v>7330</v>
      </c>
      <c r="M955" t="s">
        <v>7330</v>
      </c>
      <c r="N955" s="501">
        <v>6040</v>
      </c>
      <c r="P955">
        <v>0</v>
      </c>
      <c r="Q955" s="501">
        <v>6040</v>
      </c>
      <c r="R955" t="s">
        <v>7332</v>
      </c>
      <c r="S955">
        <v>0</v>
      </c>
    </row>
    <row r="956" spans="1:19">
      <c r="A956" t="s">
        <v>9201</v>
      </c>
      <c r="B956">
        <v>103</v>
      </c>
      <c r="C956" t="s">
        <v>7328</v>
      </c>
      <c r="D956" t="s">
        <v>11041</v>
      </c>
      <c r="E956" t="s">
        <v>11046</v>
      </c>
      <c r="F956" t="s">
        <v>11043</v>
      </c>
      <c r="G956" t="s">
        <v>9870</v>
      </c>
      <c r="H956">
        <v>-1.25</v>
      </c>
      <c r="L956" t="s">
        <v>7330</v>
      </c>
      <c r="M956" t="s">
        <v>7330</v>
      </c>
      <c r="N956" s="501">
        <v>4561</v>
      </c>
      <c r="O956" s="501"/>
      <c r="P956">
        <v>0</v>
      </c>
      <c r="Q956" s="501">
        <v>4561</v>
      </c>
      <c r="R956" t="s">
        <v>7332</v>
      </c>
      <c r="S956">
        <v>0</v>
      </c>
    </row>
    <row r="957" spans="1:19">
      <c r="A957" t="s">
        <v>9201</v>
      </c>
      <c r="B957">
        <v>103</v>
      </c>
      <c r="C957" t="s">
        <v>7328</v>
      </c>
      <c r="D957" t="s">
        <v>11041</v>
      </c>
      <c r="E957" t="s">
        <v>11047</v>
      </c>
      <c r="F957" t="s">
        <v>11043</v>
      </c>
      <c r="G957" t="s">
        <v>9873</v>
      </c>
      <c r="H957">
        <v>-1.5</v>
      </c>
      <c r="L957" t="s">
        <v>7330</v>
      </c>
      <c r="M957" t="s">
        <v>7330</v>
      </c>
      <c r="N957" s="501">
        <v>7406</v>
      </c>
      <c r="O957" s="501"/>
      <c r="P957">
        <v>0</v>
      </c>
      <c r="Q957" s="501">
        <v>7406</v>
      </c>
      <c r="R957" t="s">
        <v>7332</v>
      </c>
      <c r="S957">
        <v>0</v>
      </c>
    </row>
    <row r="958" spans="1:19">
      <c r="A958" t="s">
        <v>9201</v>
      </c>
      <c r="B958">
        <v>103</v>
      </c>
      <c r="C958" t="s">
        <v>7328</v>
      </c>
      <c r="D958" t="s">
        <v>11041</v>
      </c>
      <c r="E958" t="s">
        <v>11048</v>
      </c>
      <c r="F958" t="s">
        <v>11043</v>
      </c>
      <c r="G958" t="s">
        <v>9877</v>
      </c>
      <c r="H958">
        <v>-1.75</v>
      </c>
      <c r="L958" t="s">
        <v>7330</v>
      </c>
      <c r="M958" t="s">
        <v>7330</v>
      </c>
      <c r="N958" s="501">
        <v>8045</v>
      </c>
      <c r="O958" s="501"/>
      <c r="P958">
        <v>0</v>
      </c>
      <c r="Q958" s="501">
        <v>8045</v>
      </c>
      <c r="R958" t="s">
        <v>7332</v>
      </c>
      <c r="S958">
        <v>0</v>
      </c>
    </row>
    <row r="959" spans="1:19">
      <c r="A959" t="s">
        <v>9201</v>
      </c>
      <c r="B959">
        <v>103</v>
      </c>
      <c r="C959" t="s">
        <v>7328</v>
      </c>
      <c r="D959" t="s">
        <v>11041</v>
      </c>
      <c r="E959" t="s">
        <v>11049</v>
      </c>
      <c r="F959" t="s">
        <v>11043</v>
      </c>
      <c r="G959" t="s">
        <v>9880</v>
      </c>
      <c r="H959">
        <v>-2</v>
      </c>
      <c r="L959" t="s">
        <v>7330</v>
      </c>
      <c r="M959" t="s">
        <v>7330</v>
      </c>
      <c r="N959" s="501">
        <v>12653</v>
      </c>
      <c r="O959" s="501"/>
      <c r="P959">
        <v>0</v>
      </c>
      <c r="Q959" s="501">
        <v>12653</v>
      </c>
      <c r="R959" t="s">
        <v>7332</v>
      </c>
      <c r="S959">
        <v>0</v>
      </c>
    </row>
    <row r="960" spans="1:19">
      <c r="A960" t="s">
        <v>9201</v>
      </c>
      <c r="B960">
        <v>103</v>
      </c>
      <c r="C960" t="s">
        <v>7328</v>
      </c>
      <c r="D960" t="s">
        <v>11041</v>
      </c>
      <c r="E960" t="s">
        <v>11050</v>
      </c>
      <c r="F960" t="s">
        <v>11043</v>
      </c>
      <c r="G960" t="s">
        <v>9884</v>
      </c>
      <c r="H960">
        <v>-2.25</v>
      </c>
      <c r="L960" t="s">
        <v>7330</v>
      </c>
      <c r="M960" t="s">
        <v>7330</v>
      </c>
      <c r="N960" s="501">
        <v>14459</v>
      </c>
      <c r="P960">
        <v>0</v>
      </c>
      <c r="Q960" s="501">
        <v>14459</v>
      </c>
      <c r="R960" t="s">
        <v>7332</v>
      </c>
      <c r="S960">
        <v>0</v>
      </c>
    </row>
    <row r="961" spans="1:19">
      <c r="A961" t="s">
        <v>9201</v>
      </c>
      <c r="B961">
        <v>103</v>
      </c>
      <c r="C961" t="s">
        <v>7328</v>
      </c>
      <c r="D961" t="s">
        <v>11041</v>
      </c>
      <c r="E961" t="s">
        <v>11051</v>
      </c>
      <c r="F961" t="s">
        <v>11043</v>
      </c>
      <c r="G961" t="s">
        <v>9888</v>
      </c>
      <c r="H961">
        <v>-2.5</v>
      </c>
      <c r="L961" t="s">
        <v>7330</v>
      </c>
      <c r="M961" t="s">
        <v>7330</v>
      </c>
      <c r="N961" s="501">
        <v>13090</v>
      </c>
      <c r="P961">
        <v>0</v>
      </c>
      <c r="Q961" s="501">
        <v>13090</v>
      </c>
      <c r="R961" t="s">
        <v>7332</v>
      </c>
      <c r="S961">
        <v>0</v>
      </c>
    </row>
    <row r="962" spans="1:19">
      <c r="A962" t="s">
        <v>9201</v>
      </c>
      <c r="B962">
        <v>103</v>
      </c>
      <c r="C962" t="s">
        <v>7328</v>
      </c>
      <c r="D962" t="s">
        <v>11041</v>
      </c>
      <c r="E962" t="s">
        <v>11052</v>
      </c>
      <c r="F962" t="s">
        <v>11043</v>
      </c>
      <c r="G962" t="s">
        <v>9892</v>
      </c>
      <c r="H962">
        <v>-2.75</v>
      </c>
      <c r="L962" t="s">
        <v>7330</v>
      </c>
      <c r="M962" t="s">
        <v>7330</v>
      </c>
      <c r="N962" s="501">
        <v>6350</v>
      </c>
      <c r="P962">
        <v>0</v>
      </c>
      <c r="Q962" s="501">
        <v>6350</v>
      </c>
      <c r="R962" t="s">
        <v>7332</v>
      </c>
      <c r="S962">
        <v>0</v>
      </c>
    </row>
    <row r="963" spans="1:19">
      <c r="A963" t="s">
        <v>9201</v>
      </c>
      <c r="B963">
        <v>103</v>
      </c>
      <c r="C963" t="s">
        <v>7328</v>
      </c>
      <c r="D963" t="s">
        <v>11041</v>
      </c>
      <c r="E963" t="s">
        <v>11053</v>
      </c>
      <c r="F963" t="s">
        <v>11043</v>
      </c>
      <c r="G963" t="s">
        <v>9896</v>
      </c>
      <c r="H963">
        <v>-3</v>
      </c>
      <c r="L963" t="s">
        <v>7330</v>
      </c>
      <c r="M963" t="s">
        <v>7330</v>
      </c>
      <c r="N963" s="501">
        <v>20325</v>
      </c>
      <c r="P963">
        <v>0</v>
      </c>
      <c r="Q963" s="501">
        <v>20325</v>
      </c>
      <c r="R963" t="s">
        <v>7332</v>
      </c>
      <c r="S963">
        <v>0</v>
      </c>
    </row>
    <row r="964" spans="1:19">
      <c r="A964" t="s">
        <v>9201</v>
      </c>
      <c r="B964">
        <v>103</v>
      </c>
      <c r="C964" t="s">
        <v>7328</v>
      </c>
      <c r="D964" t="s">
        <v>11041</v>
      </c>
      <c r="E964" t="s">
        <v>11054</v>
      </c>
      <c r="F964" t="s">
        <v>11043</v>
      </c>
      <c r="G964" t="s">
        <v>9900</v>
      </c>
      <c r="H964">
        <v>-3.25</v>
      </c>
      <c r="L964" t="s">
        <v>7330</v>
      </c>
      <c r="M964" t="s">
        <v>7330</v>
      </c>
      <c r="N964" s="501">
        <v>5869</v>
      </c>
      <c r="P964">
        <v>0</v>
      </c>
      <c r="Q964" s="501">
        <v>5869</v>
      </c>
      <c r="R964" t="s">
        <v>7332</v>
      </c>
      <c r="S964">
        <v>0</v>
      </c>
    </row>
    <row r="965" spans="1:19">
      <c r="A965" t="s">
        <v>9201</v>
      </c>
      <c r="B965">
        <v>103</v>
      </c>
      <c r="C965" t="s">
        <v>7328</v>
      </c>
      <c r="D965" t="s">
        <v>11041</v>
      </c>
      <c r="E965" t="s">
        <v>11055</v>
      </c>
      <c r="F965" t="s">
        <v>11043</v>
      </c>
      <c r="G965" t="s">
        <v>9903</v>
      </c>
      <c r="H965">
        <v>-3.5</v>
      </c>
      <c r="L965" t="s">
        <v>7330</v>
      </c>
      <c r="M965" t="s">
        <v>7330</v>
      </c>
      <c r="N965" s="501">
        <v>6582</v>
      </c>
      <c r="P965">
        <v>0</v>
      </c>
      <c r="Q965" s="501">
        <v>6582</v>
      </c>
      <c r="R965" t="s">
        <v>7332</v>
      </c>
      <c r="S965">
        <v>0</v>
      </c>
    </row>
    <row r="966" spans="1:19">
      <c r="A966" t="s">
        <v>9201</v>
      </c>
      <c r="B966">
        <v>103</v>
      </c>
      <c r="C966" t="s">
        <v>7328</v>
      </c>
      <c r="D966" t="s">
        <v>11041</v>
      </c>
      <c r="E966" t="s">
        <v>11056</v>
      </c>
      <c r="F966" t="s">
        <v>11043</v>
      </c>
      <c r="G966" t="s">
        <v>9906</v>
      </c>
      <c r="H966">
        <v>-3.75</v>
      </c>
      <c r="L966" t="s">
        <v>7330</v>
      </c>
      <c r="M966" t="s">
        <v>7330</v>
      </c>
      <c r="N966" s="501">
        <v>11455</v>
      </c>
      <c r="P966">
        <v>0</v>
      </c>
      <c r="Q966" s="501">
        <v>11455</v>
      </c>
      <c r="R966" t="s">
        <v>7332</v>
      </c>
      <c r="S966">
        <v>0</v>
      </c>
    </row>
    <row r="967" spans="1:19">
      <c r="A967" t="s">
        <v>9201</v>
      </c>
      <c r="B967">
        <v>103</v>
      </c>
      <c r="C967" t="s">
        <v>7328</v>
      </c>
      <c r="D967" t="s">
        <v>11041</v>
      </c>
      <c r="E967" t="s">
        <v>11057</v>
      </c>
      <c r="F967" t="s">
        <v>11043</v>
      </c>
      <c r="G967" t="s">
        <v>9909</v>
      </c>
      <c r="H967">
        <v>-4</v>
      </c>
      <c r="L967" t="s">
        <v>7330</v>
      </c>
      <c r="M967" t="s">
        <v>7330</v>
      </c>
      <c r="N967" s="501">
        <v>10017</v>
      </c>
      <c r="P967">
        <v>0</v>
      </c>
      <c r="Q967" s="501">
        <v>10017</v>
      </c>
      <c r="R967" t="s">
        <v>7332</v>
      </c>
      <c r="S967">
        <v>0</v>
      </c>
    </row>
    <row r="968" spans="1:19">
      <c r="A968" t="s">
        <v>9201</v>
      </c>
      <c r="B968">
        <v>103</v>
      </c>
      <c r="C968" t="s">
        <v>7328</v>
      </c>
      <c r="D968" t="s">
        <v>11041</v>
      </c>
      <c r="E968" t="s">
        <v>11058</v>
      </c>
      <c r="F968" t="s">
        <v>11043</v>
      </c>
      <c r="G968" t="s">
        <v>9911</v>
      </c>
      <c r="H968">
        <v>-4.25</v>
      </c>
      <c r="L968" t="s">
        <v>7330</v>
      </c>
      <c r="M968" t="s">
        <v>7330</v>
      </c>
      <c r="N968" s="501">
        <v>12198</v>
      </c>
      <c r="P968">
        <v>0</v>
      </c>
      <c r="Q968" s="501">
        <v>12198</v>
      </c>
      <c r="R968" t="s">
        <v>7332</v>
      </c>
      <c r="S968">
        <v>0</v>
      </c>
    </row>
    <row r="969" spans="1:19">
      <c r="A969" t="s">
        <v>9201</v>
      </c>
      <c r="B969">
        <v>103</v>
      </c>
      <c r="C969" t="s">
        <v>7328</v>
      </c>
      <c r="D969" t="s">
        <v>11041</v>
      </c>
      <c r="E969" t="s">
        <v>11059</v>
      </c>
      <c r="F969" t="s">
        <v>11043</v>
      </c>
      <c r="G969" t="s">
        <v>9914</v>
      </c>
      <c r="H969">
        <v>-4.5</v>
      </c>
      <c r="L969" t="s">
        <v>7330</v>
      </c>
      <c r="M969" t="s">
        <v>7330</v>
      </c>
      <c r="N969" s="501">
        <v>3250</v>
      </c>
      <c r="P969">
        <v>0</v>
      </c>
      <c r="Q969" s="501">
        <v>3250</v>
      </c>
      <c r="R969" t="s">
        <v>7332</v>
      </c>
      <c r="S969">
        <v>0</v>
      </c>
    </row>
    <row r="970" spans="1:19">
      <c r="A970" t="s">
        <v>9201</v>
      </c>
      <c r="B970">
        <v>103</v>
      </c>
      <c r="C970" t="s">
        <v>7328</v>
      </c>
      <c r="D970" t="s">
        <v>11041</v>
      </c>
      <c r="E970" t="s">
        <v>11060</v>
      </c>
      <c r="F970" t="s">
        <v>11043</v>
      </c>
      <c r="G970" t="s">
        <v>9918</v>
      </c>
      <c r="H970">
        <v>-4.75</v>
      </c>
      <c r="L970" t="s">
        <v>7330</v>
      </c>
      <c r="M970" t="s">
        <v>7330</v>
      </c>
      <c r="N970" s="501">
        <v>8862</v>
      </c>
      <c r="P970">
        <v>0</v>
      </c>
      <c r="Q970" s="501">
        <v>8862</v>
      </c>
      <c r="R970" t="s">
        <v>7332</v>
      </c>
      <c r="S970">
        <v>0</v>
      </c>
    </row>
    <row r="971" spans="1:19">
      <c r="A971" t="s">
        <v>9201</v>
      </c>
      <c r="B971">
        <v>103</v>
      </c>
      <c r="C971" t="s">
        <v>7328</v>
      </c>
      <c r="D971" t="s">
        <v>11041</v>
      </c>
      <c r="E971" t="s">
        <v>11061</v>
      </c>
      <c r="F971" t="s">
        <v>11043</v>
      </c>
      <c r="G971" t="s">
        <v>9922</v>
      </c>
      <c r="H971">
        <v>-5</v>
      </c>
      <c r="L971" t="s">
        <v>7330</v>
      </c>
      <c r="M971" t="s">
        <v>7330</v>
      </c>
      <c r="N971" s="501">
        <v>8433</v>
      </c>
      <c r="P971">
        <v>0</v>
      </c>
      <c r="Q971" s="501">
        <v>8433</v>
      </c>
      <c r="R971" t="s">
        <v>7332</v>
      </c>
      <c r="S971">
        <v>0</v>
      </c>
    </row>
    <row r="972" spans="1:19">
      <c r="A972" t="s">
        <v>9201</v>
      </c>
      <c r="B972">
        <v>103</v>
      </c>
      <c r="C972" t="s">
        <v>7328</v>
      </c>
      <c r="D972" t="s">
        <v>11041</v>
      </c>
      <c r="E972" t="s">
        <v>11062</v>
      </c>
      <c r="F972" t="s">
        <v>11043</v>
      </c>
      <c r="G972" t="s">
        <v>9926</v>
      </c>
      <c r="H972">
        <v>-5.5</v>
      </c>
      <c r="L972" t="s">
        <v>7330</v>
      </c>
      <c r="M972" t="s">
        <v>7330</v>
      </c>
      <c r="N972" s="501">
        <v>5635</v>
      </c>
      <c r="P972">
        <v>0</v>
      </c>
      <c r="Q972" s="501">
        <v>5635</v>
      </c>
      <c r="R972" t="s">
        <v>7332</v>
      </c>
      <c r="S972">
        <v>0</v>
      </c>
    </row>
    <row r="973" spans="1:19">
      <c r="A973" t="s">
        <v>9201</v>
      </c>
      <c r="B973">
        <v>103</v>
      </c>
      <c r="C973" t="s">
        <v>7328</v>
      </c>
      <c r="D973" t="s">
        <v>11041</v>
      </c>
      <c r="E973" t="s">
        <v>11063</v>
      </c>
      <c r="F973" t="s">
        <v>11043</v>
      </c>
      <c r="G973" t="s">
        <v>9855</v>
      </c>
      <c r="H973">
        <v>-6</v>
      </c>
      <c r="L973" t="s">
        <v>7330</v>
      </c>
      <c r="M973" t="s">
        <v>7330</v>
      </c>
      <c r="N973" s="501">
        <v>12243</v>
      </c>
      <c r="P973">
        <v>0</v>
      </c>
      <c r="Q973" s="501">
        <v>12243</v>
      </c>
      <c r="R973" t="s">
        <v>7332</v>
      </c>
      <c r="S973">
        <v>0</v>
      </c>
    </row>
    <row r="974" spans="1:19">
      <c r="A974" t="s">
        <v>9201</v>
      </c>
      <c r="B974">
        <v>103</v>
      </c>
      <c r="C974" t="s">
        <v>7328</v>
      </c>
      <c r="D974" t="s">
        <v>11041</v>
      </c>
      <c r="E974" t="s">
        <v>11064</v>
      </c>
      <c r="F974" t="s">
        <v>11043</v>
      </c>
      <c r="G974" t="s">
        <v>9860</v>
      </c>
      <c r="H974">
        <v>-6.5</v>
      </c>
      <c r="L974" t="s">
        <v>7330</v>
      </c>
      <c r="M974" t="s">
        <v>7330</v>
      </c>
      <c r="N974" s="501">
        <v>2724</v>
      </c>
      <c r="P974">
        <v>0</v>
      </c>
      <c r="Q974" s="501">
        <v>2724</v>
      </c>
      <c r="R974" t="s">
        <v>7332</v>
      </c>
      <c r="S974">
        <v>0</v>
      </c>
    </row>
    <row r="975" spans="1:19">
      <c r="A975" t="s">
        <v>9201</v>
      </c>
      <c r="B975">
        <v>103</v>
      </c>
      <c r="C975" t="s">
        <v>7328</v>
      </c>
      <c r="D975" t="s">
        <v>11041</v>
      </c>
      <c r="E975" t="s">
        <v>11065</v>
      </c>
      <c r="F975" t="s">
        <v>11043</v>
      </c>
      <c r="G975" t="s">
        <v>9936</v>
      </c>
      <c r="H975">
        <v>-7</v>
      </c>
      <c r="L975" t="s">
        <v>7330</v>
      </c>
      <c r="M975" t="s">
        <v>7330</v>
      </c>
      <c r="N975" s="501">
        <v>535</v>
      </c>
      <c r="P975">
        <v>0</v>
      </c>
      <c r="Q975" s="501">
        <v>535</v>
      </c>
      <c r="R975" t="s">
        <v>7332</v>
      </c>
      <c r="S975">
        <v>0</v>
      </c>
    </row>
    <row r="976" spans="1:19">
      <c r="A976" t="s">
        <v>9201</v>
      </c>
      <c r="B976">
        <v>103</v>
      </c>
      <c r="C976" t="s">
        <v>7328</v>
      </c>
      <c r="D976" t="s">
        <v>11041</v>
      </c>
      <c r="E976" t="s">
        <v>11066</v>
      </c>
      <c r="F976" t="s">
        <v>11043</v>
      </c>
      <c r="G976" t="s">
        <v>9939</v>
      </c>
      <c r="H976">
        <v>-7.5</v>
      </c>
      <c r="L976" t="s">
        <v>7330</v>
      </c>
      <c r="M976" t="s">
        <v>7330</v>
      </c>
      <c r="N976" s="501">
        <v>1547</v>
      </c>
      <c r="P976">
        <v>0</v>
      </c>
      <c r="Q976" s="501">
        <v>1547</v>
      </c>
      <c r="R976" t="s">
        <v>7332</v>
      </c>
      <c r="S976">
        <v>0</v>
      </c>
    </row>
    <row r="977" spans="1:19">
      <c r="A977" t="s">
        <v>9201</v>
      </c>
      <c r="B977">
        <v>103</v>
      </c>
      <c r="C977" t="s">
        <v>7328</v>
      </c>
      <c r="D977" t="s">
        <v>11041</v>
      </c>
      <c r="E977" t="s">
        <v>11067</v>
      </c>
      <c r="F977" t="s">
        <v>11043</v>
      </c>
      <c r="G977" t="s">
        <v>9942</v>
      </c>
      <c r="H977">
        <v>-8</v>
      </c>
      <c r="L977" t="s">
        <v>7330</v>
      </c>
      <c r="M977" t="s">
        <v>7330</v>
      </c>
      <c r="N977" s="501">
        <v>669</v>
      </c>
      <c r="P977">
        <v>0</v>
      </c>
      <c r="Q977" s="501">
        <v>669</v>
      </c>
      <c r="R977" t="s">
        <v>7332</v>
      </c>
      <c r="S977">
        <v>0</v>
      </c>
    </row>
    <row r="978" spans="1:19">
      <c r="A978" t="s">
        <v>9201</v>
      </c>
      <c r="B978">
        <v>103</v>
      </c>
      <c r="C978" t="s">
        <v>7328</v>
      </c>
      <c r="D978" t="s">
        <v>11041</v>
      </c>
      <c r="E978" t="s">
        <v>11068</v>
      </c>
      <c r="F978" t="s">
        <v>11043</v>
      </c>
      <c r="G978" t="s">
        <v>9945</v>
      </c>
      <c r="H978">
        <v>-8.5</v>
      </c>
      <c r="L978" t="s">
        <v>7330</v>
      </c>
      <c r="M978" t="s">
        <v>7330</v>
      </c>
      <c r="N978" s="501">
        <v>4534</v>
      </c>
      <c r="P978">
        <v>0</v>
      </c>
      <c r="Q978" s="501">
        <v>4534</v>
      </c>
      <c r="R978" t="s">
        <v>7332</v>
      </c>
      <c r="S978">
        <v>0</v>
      </c>
    </row>
    <row r="979" spans="1:19">
      <c r="A979" t="s">
        <v>9201</v>
      </c>
      <c r="B979">
        <v>103</v>
      </c>
      <c r="C979" t="s">
        <v>7328</v>
      </c>
      <c r="D979" t="s">
        <v>11041</v>
      </c>
      <c r="E979" t="s">
        <v>11069</v>
      </c>
      <c r="F979" t="s">
        <v>11043</v>
      </c>
      <c r="G979" t="s">
        <v>9949</v>
      </c>
      <c r="H979">
        <v>-9</v>
      </c>
      <c r="L979" t="s">
        <v>7330</v>
      </c>
      <c r="M979" t="s">
        <v>7330</v>
      </c>
      <c r="N979" s="501">
        <v>1161</v>
      </c>
      <c r="P979">
        <v>0</v>
      </c>
      <c r="Q979" s="501">
        <v>1161</v>
      </c>
      <c r="R979" t="s">
        <v>7332</v>
      </c>
      <c r="S979">
        <v>0</v>
      </c>
    </row>
    <row r="980" spans="1:19">
      <c r="A980" t="s">
        <v>9201</v>
      </c>
      <c r="B980">
        <v>103</v>
      </c>
      <c r="C980" t="s">
        <v>7328</v>
      </c>
      <c r="D980" t="s">
        <v>11041</v>
      </c>
      <c r="E980" t="s">
        <v>11070</v>
      </c>
      <c r="F980" t="s">
        <v>11043</v>
      </c>
      <c r="G980" t="s">
        <v>10240</v>
      </c>
      <c r="H980">
        <v>-9.5</v>
      </c>
      <c r="L980" t="s">
        <v>7330</v>
      </c>
      <c r="M980" t="s">
        <v>7330</v>
      </c>
      <c r="N980" s="501">
        <v>5099</v>
      </c>
      <c r="P980">
        <v>0</v>
      </c>
      <c r="Q980" s="501">
        <v>5099</v>
      </c>
      <c r="R980" t="s">
        <v>7332</v>
      </c>
      <c r="S980">
        <v>0</v>
      </c>
    </row>
    <row r="981" spans="1:19">
      <c r="A981" t="s">
        <v>9201</v>
      </c>
      <c r="B981">
        <v>103</v>
      </c>
      <c r="C981" t="s">
        <v>7328</v>
      </c>
      <c r="D981" t="s">
        <v>11041</v>
      </c>
      <c r="E981" t="s">
        <v>11071</v>
      </c>
      <c r="F981" t="s">
        <v>11043</v>
      </c>
      <c r="G981" t="s">
        <v>10242</v>
      </c>
      <c r="H981">
        <v>-10</v>
      </c>
      <c r="L981" t="s">
        <v>7330</v>
      </c>
      <c r="M981" t="s">
        <v>7330</v>
      </c>
      <c r="N981" s="501">
        <v>903</v>
      </c>
      <c r="P981">
        <v>0</v>
      </c>
      <c r="Q981" s="501">
        <v>903</v>
      </c>
      <c r="R981" t="s">
        <v>7332</v>
      </c>
      <c r="S981">
        <v>0</v>
      </c>
    </row>
    <row r="982" spans="1:19">
      <c r="A982" t="s">
        <v>9201</v>
      </c>
      <c r="B982">
        <v>103</v>
      </c>
      <c r="C982" t="s">
        <v>7328</v>
      </c>
      <c r="D982" t="s">
        <v>11041</v>
      </c>
      <c r="E982" t="s">
        <v>11072</v>
      </c>
      <c r="F982" t="s">
        <v>11043</v>
      </c>
      <c r="G982" t="s">
        <v>10244</v>
      </c>
      <c r="H982">
        <v>-10.5</v>
      </c>
      <c r="L982" t="s">
        <v>7330</v>
      </c>
      <c r="M982" t="s">
        <v>7330</v>
      </c>
      <c r="N982" s="501">
        <v>694</v>
      </c>
      <c r="P982">
        <v>0</v>
      </c>
      <c r="Q982" s="501">
        <v>694</v>
      </c>
      <c r="R982" t="s">
        <v>7332</v>
      </c>
      <c r="S982">
        <v>0</v>
      </c>
    </row>
    <row r="983" spans="1:19">
      <c r="A983" t="s">
        <v>9201</v>
      </c>
      <c r="B983">
        <v>103</v>
      </c>
      <c r="C983" t="s">
        <v>7328</v>
      </c>
      <c r="D983" t="s">
        <v>11041</v>
      </c>
      <c r="E983" t="s">
        <v>11073</v>
      </c>
      <c r="F983" t="s">
        <v>11043</v>
      </c>
      <c r="G983" t="s">
        <v>10246</v>
      </c>
      <c r="H983">
        <v>-11</v>
      </c>
      <c r="L983" t="s">
        <v>7330</v>
      </c>
      <c r="M983" t="s">
        <v>7330</v>
      </c>
      <c r="N983" s="501">
        <v>77</v>
      </c>
      <c r="P983">
        <v>0</v>
      </c>
      <c r="Q983" s="501">
        <v>77</v>
      </c>
      <c r="R983" t="s">
        <v>7332</v>
      </c>
      <c r="S983">
        <v>0</v>
      </c>
    </row>
    <row r="984" spans="1:19">
      <c r="A984" t="s">
        <v>9201</v>
      </c>
      <c r="B984">
        <v>103</v>
      </c>
      <c r="C984" t="s">
        <v>7328</v>
      </c>
      <c r="D984" t="s">
        <v>11041</v>
      </c>
      <c r="E984" t="s">
        <v>11074</v>
      </c>
      <c r="F984" t="s">
        <v>11043</v>
      </c>
      <c r="G984" t="s">
        <v>10248</v>
      </c>
      <c r="H984">
        <v>-11.5</v>
      </c>
      <c r="L984" t="s">
        <v>7330</v>
      </c>
      <c r="M984" t="s">
        <v>7330</v>
      </c>
      <c r="N984" s="501">
        <v>231</v>
      </c>
      <c r="P984">
        <v>0</v>
      </c>
      <c r="Q984" s="501">
        <v>231</v>
      </c>
      <c r="R984" t="s">
        <v>7332</v>
      </c>
      <c r="S984">
        <v>0</v>
      </c>
    </row>
    <row r="985" spans="1:19">
      <c r="A985" t="s">
        <v>9201</v>
      </c>
      <c r="B985">
        <v>103</v>
      </c>
      <c r="C985" t="s">
        <v>7328</v>
      </c>
      <c r="D985" t="s">
        <v>11041</v>
      </c>
      <c r="E985" t="s">
        <v>11075</v>
      </c>
      <c r="F985" t="s">
        <v>11043</v>
      </c>
      <c r="G985" t="s">
        <v>10250</v>
      </c>
      <c r="H985">
        <v>-12</v>
      </c>
      <c r="L985" t="s">
        <v>7330</v>
      </c>
      <c r="M985" t="s">
        <v>7330</v>
      </c>
      <c r="N985" s="501">
        <v>3232</v>
      </c>
      <c r="P985">
        <v>0</v>
      </c>
      <c r="Q985" s="501">
        <v>3232</v>
      </c>
      <c r="R985" t="s">
        <v>7332</v>
      </c>
      <c r="S985">
        <v>0</v>
      </c>
    </row>
    <row r="986" spans="1:19">
      <c r="A986" t="s">
        <v>9201</v>
      </c>
      <c r="B986">
        <v>103</v>
      </c>
      <c r="C986" t="s">
        <v>7328</v>
      </c>
      <c r="D986" t="s">
        <v>11076</v>
      </c>
      <c r="E986" t="s">
        <v>11077</v>
      </c>
      <c r="F986" t="s">
        <v>11078</v>
      </c>
      <c r="G986" t="s">
        <v>11079</v>
      </c>
      <c r="H986">
        <v>-2.25</v>
      </c>
      <c r="K986" t="s">
        <v>11080</v>
      </c>
      <c r="L986" t="s">
        <v>11081</v>
      </c>
      <c r="M986" t="s">
        <v>11082</v>
      </c>
      <c r="N986" s="501"/>
      <c r="O986">
        <v>10</v>
      </c>
      <c r="P986">
        <v>10</v>
      </c>
      <c r="Q986" s="501"/>
      <c r="R986" t="s">
        <v>7329</v>
      </c>
      <c r="S986">
        <v>0</v>
      </c>
    </row>
    <row r="987" spans="1:19">
      <c r="A987" t="s">
        <v>9201</v>
      </c>
      <c r="B987">
        <v>103</v>
      </c>
      <c r="C987" t="s">
        <v>7328</v>
      </c>
      <c r="D987" t="s">
        <v>12142</v>
      </c>
      <c r="E987" t="s">
        <v>12143</v>
      </c>
      <c r="F987" t="s">
        <v>12144</v>
      </c>
      <c r="G987" t="s">
        <v>12145</v>
      </c>
      <c r="H987">
        <v>0</v>
      </c>
      <c r="K987" t="s">
        <v>9343</v>
      </c>
      <c r="L987" t="s">
        <v>12146</v>
      </c>
      <c r="M987" t="s">
        <v>12147</v>
      </c>
      <c r="N987" s="501"/>
      <c r="O987">
        <v>20</v>
      </c>
      <c r="P987">
        <v>20</v>
      </c>
      <c r="Q987" s="501"/>
      <c r="R987" t="s">
        <v>7329</v>
      </c>
      <c r="S987">
        <v>0</v>
      </c>
    </row>
    <row r="988" spans="1:19">
      <c r="A988" t="s">
        <v>9201</v>
      </c>
      <c r="B988">
        <v>103</v>
      </c>
      <c r="C988" t="s">
        <v>7328</v>
      </c>
      <c r="D988" t="s">
        <v>12142</v>
      </c>
      <c r="E988" t="s">
        <v>12148</v>
      </c>
      <c r="F988" t="s">
        <v>12144</v>
      </c>
      <c r="G988" t="s">
        <v>12149</v>
      </c>
      <c r="H988">
        <v>-7.5</v>
      </c>
      <c r="K988" t="s">
        <v>12150</v>
      </c>
      <c r="L988" t="s">
        <v>12151</v>
      </c>
      <c r="M988" t="s">
        <v>12152</v>
      </c>
      <c r="N988" s="501"/>
      <c r="O988">
        <v>20</v>
      </c>
      <c r="P988">
        <v>20</v>
      </c>
      <c r="Q988" s="501"/>
      <c r="R988" t="s">
        <v>7329</v>
      </c>
      <c r="S988">
        <v>0</v>
      </c>
    </row>
    <row r="989" spans="1:19">
      <c r="A989" t="s">
        <v>9201</v>
      </c>
      <c r="B989">
        <v>103</v>
      </c>
      <c r="C989" t="s">
        <v>7328</v>
      </c>
      <c r="D989" t="s">
        <v>11083</v>
      </c>
      <c r="E989" t="s">
        <v>11084</v>
      </c>
      <c r="F989" t="s">
        <v>11085</v>
      </c>
      <c r="G989" t="s">
        <v>11086</v>
      </c>
      <c r="H989">
        <v>0</v>
      </c>
      <c r="K989" t="s">
        <v>9343</v>
      </c>
      <c r="L989" t="s">
        <v>11087</v>
      </c>
      <c r="M989" t="s">
        <v>11088</v>
      </c>
      <c r="N989" s="501"/>
      <c r="O989">
        <v>100</v>
      </c>
      <c r="P989">
        <v>100</v>
      </c>
      <c r="Q989" s="501"/>
      <c r="R989" t="s">
        <v>7329</v>
      </c>
      <c r="S989">
        <v>0</v>
      </c>
    </row>
    <row r="990" spans="1:19">
      <c r="A990" t="s">
        <v>9201</v>
      </c>
      <c r="B990">
        <v>103</v>
      </c>
      <c r="C990" t="s">
        <v>7328</v>
      </c>
      <c r="D990" t="s">
        <v>11089</v>
      </c>
      <c r="E990" t="s">
        <v>11090</v>
      </c>
      <c r="F990" t="s">
        <v>11091</v>
      </c>
      <c r="G990" t="s">
        <v>11092</v>
      </c>
      <c r="H990">
        <v>0.75</v>
      </c>
      <c r="I990">
        <v>-1.25</v>
      </c>
      <c r="J990">
        <v>180</v>
      </c>
      <c r="L990" t="s">
        <v>7330</v>
      </c>
      <c r="M990" t="s">
        <v>7330</v>
      </c>
      <c r="N990" s="501">
        <v>15</v>
      </c>
      <c r="P990">
        <v>0</v>
      </c>
      <c r="Q990" s="501">
        <v>15</v>
      </c>
      <c r="R990" t="s">
        <v>7927</v>
      </c>
      <c r="S990">
        <v>0</v>
      </c>
    </row>
    <row r="991" spans="1:19">
      <c r="A991" t="s">
        <v>9201</v>
      </c>
      <c r="B991">
        <v>103</v>
      </c>
      <c r="C991" t="s">
        <v>7328</v>
      </c>
      <c r="D991" t="s">
        <v>11089</v>
      </c>
      <c r="E991" t="s">
        <v>11093</v>
      </c>
      <c r="F991" t="s">
        <v>11091</v>
      </c>
      <c r="G991" t="s">
        <v>11094</v>
      </c>
      <c r="H991">
        <v>1</v>
      </c>
      <c r="I991">
        <v>-0.75</v>
      </c>
      <c r="J991">
        <v>110</v>
      </c>
      <c r="L991" t="s">
        <v>7330</v>
      </c>
      <c r="M991" t="s">
        <v>7330</v>
      </c>
      <c r="N991" s="501">
        <v>10</v>
      </c>
      <c r="P991">
        <v>0</v>
      </c>
      <c r="Q991" s="501">
        <v>10</v>
      </c>
      <c r="R991" t="s">
        <v>7927</v>
      </c>
      <c r="S991">
        <v>0</v>
      </c>
    </row>
    <row r="992" spans="1:19">
      <c r="A992" t="s">
        <v>9201</v>
      </c>
      <c r="B992">
        <v>103</v>
      </c>
      <c r="C992" t="s">
        <v>7328</v>
      </c>
      <c r="D992" t="s">
        <v>11089</v>
      </c>
      <c r="E992" t="s">
        <v>11095</v>
      </c>
      <c r="F992" t="s">
        <v>11091</v>
      </c>
      <c r="G992" t="s">
        <v>11096</v>
      </c>
      <c r="H992">
        <v>1</v>
      </c>
      <c r="I992">
        <v>-0.75</v>
      </c>
      <c r="J992">
        <v>180</v>
      </c>
      <c r="L992" t="s">
        <v>7330</v>
      </c>
      <c r="M992" t="s">
        <v>7330</v>
      </c>
      <c r="N992" s="501">
        <v>15</v>
      </c>
      <c r="P992">
        <v>0</v>
      </c>
      <c r="Q992" s="501">
        <v>15</v>
      </c>
      <c r="R992" t="s">
        <v>7927</v>
      </c>
      <c r="S992">
        <v>0</v>
      </c>
    </row>
    <row r="993" spans="1:19">
      <c r="A993" t="s">
        <v>9201</v>
      </c>
      <c r="B993">
        <v>103</v>
      </c>
      <c r="C993" t="s">
        <v>7328</v>
      </c>
      <c r="D993" t="s">
        <v>11089</v>
      </c>
      <c r="E993" t="s">
        <v>11097</v>
      </c>
      <c r="F993" t="s">
        <v>11091</v>
      </c>
      <c r="G993" t="s">
        <v>11098</v>
      </c>
      <c r="H993">
        <v>0</v>
      </c>
      <c r="I993">
        <v>-2.25</v>
      </c>
      <c r="J993">
        <v>10</v>
      </c>
      <c r="L993" t="s">
        <v>7330</v>
      </c>
      <c r="M993" t="s">
        <v>7330</v>
      </c>
      <c r="N993" s="501">
        <v>15</v>
      </c>
      <c r="P993">
        <v>0</v>
      </c>
      <c r="Q993" s="501">
        <v>15</v>
      </c>
      <c r="R993" t="s">
        <v>7927</v>
      </c>
      <c r="S993">
        <v>0</v>
      </c>
    </row>
    <row r="994" spans="1:19">
      <c r="A994" t="s">
        <v>9201</v>
      </c>
      <c r="B994">
        <v>103</v>
      </c>
      <c r="C994" t="s">
        <v>7328</v>
      </c>
      <c r="D994" t="s">
        <v>11089</v>
      </c>
      <c r="E994" t="s">
        <v>11099</v>
      </c>
      <c r="F994" t="s">
        <v>11091</v>
      </c>
      <c r="G994" t="s">
        <v>11100</v>
      </c>
      <c r="H994">
        <v>-0.5</v>
      </c>
      <c r="I994">
        <v>-0.75</v>
      </c>
      <c r="J994">
        <v>160</v>
      </c>
      <c r="L994" t="s">
        <v>7330</v>
      </c>
      <c r="M994" t="s">
        <v>7330</v>
      </c>
      <c r="N994" s="501">
        <v>5</v>
      </c>
      <c r="P994">
        <v>0</v>
      </c>
      <c r="Q994" s="501">
        <v>5</v>
      </c>
      <c r="R994" t="s">
        <v>7927</v>
      </c>
      <c r="S994">
        <v>0</v>
      </c>
    </row>
    <row r="995" spans="1:19">
      <c r="A995" t="s">
        <v>9201</v>
      </c>
      <c r="B995">
        <v>103</v>
      </c>
      <c r="C995" t="s">
        <v>7328</v>
      </c>
      <c r="D995" t="s">
        <v>11089</v>
      </c>
      <c r="E995" t="s">
        <v>11101</v>
      </c>
      <c r="F995" t="s">
        <v>11091</v>
      </c>
      <c r="G995" t="s">
        <v>11102</v>
      </c>
      <c r="H995">
        <v>-0.5</v>
      </c>
      <c r="I995">
        <v>-1.25</v>
      </c>
      <c r="J995">
        <v>180</v>
      </c>
      <c r="L995" t="s">
        <v>7330</v>
      </c>
      <c r="M995" t="s">
        <v>7330</v>
      </c>
      <c r="N995" s="501">
        <v>20</v>
      </c>
      <c r="P995">
        <v>0</v>
      </c>
      <c r="Q995" s="501">
        <v>20</v>
      </c>
      <c r="R995" t="s">
        <v>7927</v>
      </c>
      <c r="S995">
        <v>0</v>
      </c>
    </row>
    <row r="996" spans="1:19">
      <c r="A996" t="s">
        <v>9201</v>
      </c>
      <c r="B996">
        <v>103</v>
      </c>
      <c r="C996" t="s">
        <v>7328</v>
      </c>
      <c r="D996" t="s">
        <v>11089</v>
      </c>
      <c r="E996" t="s">
        <v>11103</v>
      </c>
      <c r="F996" t="s">
        <v>11091</v>
      </c>
      <c r="G996" t="s">
        <v>11104</v>
      </c>
      <c r="H996">
        <v>-0.75</v>
      </c>
      <c r="I996">
        <v>-1.75</v>
      </c>
      <c r="J996">
        <v>90</v>
      </c>
      <c r="L996" t="s">
        <v>7330</v>
      </c>
      <c r="M996" t="s">
        <v>7330</v>
      </c>
      <c r="N996" s="501">
        <v>10</v>
      </c>
      <c r="P996">
        <v>0</v>
      </c>
      <c r="Q996" s="501">
        <v>10</v>
      </c>
      <c r="R996" t="s">
        <v>7927</v>
      </c>
      <c r="S996">
        <v>0</v>
      </c>
    </row>
    <row r="997" spans="1:19">
      <c r="A997" t="s">
        <v>9201</v>
      </c>
      <c r="B997">
        <v>103</v>
      </c>
      <c r="C997" t="s">
        <v>7328</v>
      </c>
      <c r="D997" t="s">
        <v>11089</v>
      </c>
      <c r="E997" t="s">
        <v>11105</v>
      </c>
      <c r="F997" t="s">
        <v>11091</v>
      </c>
      <c r="G997" t="s">
        <v>11106</v>
      </c>
      <c r="H997">
        <v>-2.5</v>
      </c>
      <c r="I997">
        <v>-1.25</v>
      </c>
      <c r="J997">
        <v>180</v>
      </c>
      <c r="L997" t="s">
        <v>7330</v>
      </c>
      <c r="M997" t="s">
        <v>7330</v>
      </c>
      <c r="N997" s="501">
        <v>5</v>
      </c>
      <c r="P997">
        <v>0</v>
      </c>
      <c r="Q997" s="501">
        <v>5</v>
      </c>
      <c r="R997" t="s">
        <v>7927</v>
      </c>
      <c r="S997">
        <v>0</v>
      </c>
    </row>
    <row r="998" spans="1:19">
      <c r="A998" t="s">
        <v>9201</v>
      </c>
      <c r="B998">
        <v>103</v>
      </c>
      <c r="C998" t="s">
        <v>7328</v>
      </c>
      <c r="D998" t="s">
        <v>11089</v>
      </c>
      <c r="E998" t="s">
        <v>11107</v>
      </c>
      <c r="F998" t="s">
        <v>11091</v>
      </c>
      <c r="G998" t="s">
        <v>11108</v>
      </c>
      <c r="H998">
        <v>-2.75</v>
      </c>
      <c r="I998">
        <v>-0.75</v>
      </c>
      <c r="J998">
        <v>160</v>
      </c>
      <c r="L998" t="s">
        <v>7330</v>
      </c>
      <c r="M998" t="s">
        <v>7330</v>
      </c>
      <c r="N998" s="501">
        <v>5</v>
      </c>
      <c r="P998">
        <v>0</v>
      </c>
      <c r="Q998" s="501">
        <v>5</v>
      </c>
      <c r="R998" t="s">
        <v>7927</v>
      </c>
      <c r="S998">
        <v>0</v>
      </c>
    </row>
    <row r="999" spans="1:19">
      <c r="A999" t="s">
        <v>9201</v>
      </c>
      <c r="B999">
        <v>103</v>
      </c>
      <c r="C999" t="s">
        <v>7328</v>
      </c>
      <c r="D999" t="s">
        <v>11089</v>
      </c>
      <c r="E999" t="s">
        <v>11109</v>
      </c>
      <c r="F999" t="s">
        <v>11091</v>
      </c>
      <c r="G999" t="s">
        <v>11110</v>
      </c>
      <c r="H999">
        <v>-2.75</v>
      </c>
      <c r="I999">
        <v>-1.25</v>
      </c>
      <c r="J999">
        <v>80</v>
      </c>
      <c r="L999" t="s">
        <v>7330</v>
      </c>
      <c r="M999" t="s">
        <v>7330</v>
      </c>
      <c r="N999" s="501">
        <v>15</v>
      </c>
      <c r="P999">
        <v>0</v>
      </c>
      <c r="Q999" s="501">
        <v>15</v>
      </c>
      <c r="R999" t="s">
        <v>7927</v>
      </c>
      <c r="S999">
        <v>0</v>
      </c>
    </row>
    <row r="1000" spans="1:19">
      <c r="A1000" t="s">
        <v>9201</v>
      </c>
      <c r="B1000">
        <v>103</v>
      </c>
      <c r="C1000" t="s">
        <v>7328</v>
      </c>
      <c r="D1000" t="s">
        <v>11089</v>
      </c>
      <c r="E1000" t="s">
        <v>11111</v>
      </c>
      <c r="F1000" t="s">
        <v>11091</v>
      </c>
      <c r="G1000" t="s">
        <v>11112</v>
      </c>
      <c r="H1000">
        <v>-2.75</v>
      </c>
      <c r="I1000">
        <v>-2.25</v>
      </c>
      <c r="J1000">
        <v>110</v>
      </c>
      <c r="L1000" t="s">
        <v>7330</v>
      </c>
      <c r="M1000" t="s">
        <v>7330</v>
      </c>
      <c r="N1000" s="501">
        <v>15</v>
      </c>
      <c r="P1000">
        <v>0</v>
      </c>
      <c r="Q1000" s="501">
        <v>15</v>
      </c>
      <c r="R1000" t="s">
        <v>7927</v>
      </c>
      <c r="S1000">
        <v>0</v>
      </c>
    </row>
    <row r="1001" spans="1:19">
      <c r="A1001" t="s">
        <v>9201</v>
      </c>
      <c r="B1001">
        <v>103</v>
      </c>
      <c r="C1001" t="s">
        <v>7328</v>
      </c>
      <c r="D1001" t="s">
        <v>11089</v>
      </c>
      <c r="E1001" t="s">
        <v>11113</v>
      </c>
      <c r="F1001" t="s">
        <v>11091</v>
      </c>
      <c r="G1001" t="s">
        <v>11114</v>
      </c>
      <c r="H1001">
        <v>-3</v>
      </c>
      <c r="I1001">
        <v>-0.75</v>
      </c>
      <c r="J1001">
        <v>180</v>
      </c>
      <c r="L1001" t="s">
        <v>7330</v>
      </c>
      <c r="M1001" t="s">
        <v>7330</v>
      </c>
      <c r="N1001" s="501">
        <v>15</v>
      </c>
      <c r="P1001">
        <v>0</v>
      </c>
      <c r="Q1001" s="501">
        <v>15</v>
      </c>
      <c r="R1001" t="s">
        <v>7927</v>
      </c>
      <c r="S1001">
        <v>0</v>
      </c>
    </row>
    <row r="1002" spans="1:19">
      <c r="A1002" t="s">
        <v>9201</v>
      </c>
      <c r="B1002">
        <v>103</v>
      </c>
      <c r="C1002" t="s">
        <v>7328</v>
      </c>
      <c r="D1002" t="s">
        <v>11089</v>
      </c>
      <c r="E1002" t="s">
        <v>11115</v>
      </c>
      <c r="F1002" t="s">
        <v>11091</v>
      </c>
      <c r="G1002" t="s">
        <v>11116</v>
      </c>
      <c r="H1002">
        <v>-3</v>
      </c>
      <c r="I1002">
        <v>-1.25</v>
      </c>
      <c r="J1002">
        <v>170</v>
      </c>
      <c r="L1002" t="s">
        <v>7330</v>
      </c>
      <c r="M1002" t="s">
        <v>7330</v>
      </c>
      <c r="N1002" s="501">
        <v>15</v>
      </c>
      <c r="P1002">
        <v>0</v>
      </c>
      <c r="Q1002" s="501">
        <v>15</v>
      </c>
      <c r="R1002" t="s">
        <v>7927</v>
      </c>
      <c r="S1002">
        <v>0</v>
      </c>
    </row>
    <row r="1003" spans="1:19">
      <c r="A1003" t="s">
        <v>9201</v>
      </c>
      <c r="B1003">
        <v>103</v>
      </c>
      <c r="C1003" t="s">
        <v>7328</v>
      </c>
      <c r="D1003" t="s">
        <v>11089</v>
      </c>
      <c r="E1003" t="s">
        <v>11117</v>
      </c>
      <c r="F1003" t="s">
        <v>11091</v>
      </c>
      <c r="G1003" t="s">
        <v>11118</v>
      </c>
      <c r="H1003">
        <v>-3.75</v>
      </c>
      <c r="I1003">
        <v>-1.75</v>
      </c>
      <c r="J1003">
        <v>20</v>
      </c>
      <c r="L1003" t="s">
        <v>7330</v>
      </c>
      <c r="M1003" t="s">
        <v>7330</v>
      </c>
      <c r="N1003" s="501">
        <v>15</v>
      </c>
      <c r="P1003">
        <v>0</v>
      </c>
      <c r="Q1003" s="501">
        <v>15</v>
      </c>
      <c r="R1003" t="s">
        <v>7927</v>
      </c>
      <c r="S1003">
        <v>0</v>
      </c>
    </row>
    <row r="1004" spans="1:19">
      <c r="A1004" t="s">
        <v>9201</v>
      </c>
      <c r="B1004">
        <v>103</v>
      </c>
      <c r="C1004" t="s">
        <v>7328</v>
      </c>
      <c r="D1004" t="s">
        <v>11089</v>
      </c>
      <c r="E1004" t="s">
        <v>11119</v>
      </c>
      <c r="F1004" t="s">
        <v>11091</v>
      </c>
      <c r="G1004" t="s">
        <v>11120</v>
      </c>
      <c r="H1004">
        <v>-4.25</v>
      </c>
      <c r="I1004">
        <v>-0.75</v>
      </c>
      <c r="J1004">
        <v>80</v>
      </c>
      <c r="L1004" t="s">
        <v>7330</v>
      </c>
      <c r="M1004" t="s">
        <v>7330</v>
      </c>
      <c r="N1004" s="501">
        <v>10</v>
      </c>
      <c r="P1004">
        <v>0</v>
      </c>
      <c r="Q1004" s="501">
        <v>10</v>
      </c>
      <c r="R1004" t="s">
        <v>7927</v>
      </c>
      <c r="S1004">
        <v>0</v>
      </c>
    </row>
    <row r="1005" spans="1:19">
      <c r="A1005" t="s">
        <v>9201</v>
      </c>
      <c r="B1005">
        <v>103</v>
      </c>
      <c r="C1005" t="s">
        <v>7328</v>
      </c>
      <c r="D1005" t="s">
        <v>11089</v>
      </c>
      <c r="E1005" t="s">
        <v>11121</v>
      </c>
      <c r="F1005" t="s">
        <v>11091</v>
      </c>
      <c r="G1005" t="s">
        <v>11122</v>
      </c>
      <c r="H1005">
        <v>-4.5</v>
      </c>
      <c r="I1005">
        <v>-1.25</v>
      </c>
      <c r="J1005">
        <v>180</v>
      </c>
      <c r="L1005" t="s">
        <v>7330</v>
      </c>
      <c r="M1005" t="s">
        <v>7330</v>
      </c>
      <c r="N1005" s="501">
        <v>15</v>
      </c>
      <c r="P1005">
        <v>0</v>
      </c>
      <c r="Q1005" s="501">
        <v>15</v>
      </c>
      <c r="R1005" t="s">
        <v>7927</v>
      </c>
      <c r="S1005">
        <v>0</v>
      </c>
    </row>
    <row r="1006" spans="1:19">
      <c r="A1006" t="s">
        <v>9201</v>
      </c>
      <c r="B1006">
        <v>103</v>
      </c>
      <c r="C1006" t="s">
        <v>7328</v>
      </c>
      <c r="D1006" t="s">
        <v>11089</v>
      </c>
      <c r="E1006" t="s">
        <v>11123</v>
      </c>
      <c r="F1006" t="s">
        <v>11091</v>
      </c>
      <c r="G1006" t="s">
        <v>11124</v>
      </c>
      <c r="H1006">
        <v>-5</v>
      </c>
      <c r="I1006">
        <v>-0.75</v>
      </c>
      <c r="J1006">
        <v>90</v>
      </c>
      <c r="L1006" t="s">
        <v>7330</v>
      </c>
      <c r="M1006" t="s">
        <v>7330</v>
      </c>
      <c r="N1006" s="501">
        <v>10</v>
      </c>
      <c r="P1006">
        <v>0</v>
      </c>
      <c r="Q1006" s="501">
        <v>10</v>
      </c>
      <c r="R1006" t="s">
        <v>7927</v>
      </c>
      <c r="S1006">
        <v>0</v>
      </c>
    </row>
    <row r="1007" spans="1:19">
      <c r="A1007" t="s">
        <v>9201</v>
      </c>
      <c r="B1007">
        <v>103</v>
      </c>
      <c r="C1007" t="s">
        <v>7328</v>
      </c>
      <c r="D1007" t="s">
        <v>11125</v>
      </c>
      <c r="E1007" t="s">
        <v>11126</v>
      </c>
      <c r="F1007" t="s">
        <v>11127</v>
      </c>
      <c r="G1007" t="s">
        <v>11128</v>
      </c>
      <c r="H1007">
        <v>-1</v>
      </c>
      <c r="I1007">
        <v>-0.75</v>
      </c>
      <c r="J1007">
        <v>180</v>
      </c>
      <c r="L1007" t="s">
        <v>7330</v>
      </c>
      <c r="M1007" t="s">
        <v>7330</v>
      </c>
      <c r="N1007" s="501">
        <v>3137</v>
      </c>
      <c r="P1007">
        <v>0</v>
      </c>
      <c r="Q1007" s="501">
        <v>3137</v>
      </c>
      <c r="R1007" t="s">
        <v>7927</v>
      </c>
      <c r="S1007">
        <v>0</v>
      </c>
    </row>
    <row r="1008" spans="1:19">
      <c r="A1008" t="s">
        <v>9201</v>
      </c>
      <c r="B1008">
        <v>103</v>
      </c>
      <c r="C1008" t="s">
        <v>7328</v>
      </c>
      <c r="D1008" t="s">
        <v>11125</v>
      </c>
      <c r="E1008" t="s">
        <v>11129</v>
      </c>
      <c r="F1008" t="s">
        <v>11127</v>
      </c>
      <c r="G1008" t="s">
        <v>11130</v>
      </c>
      <c r="H1008">
        <v>-1</v>
      </c>
      <c r="I1008">
        <v>-1.25</v>
      </c>
      <c r="J1008">
        <v>180</v>
      </c>
      <c r="L1008" t="s">
        <v>7330</v>
      </c>
      <c r="M1008" t="s">
        <v>7330</v>
      </c>
      <c r="N1008" s="501">
        <v>13289</v>
      </c>
      <c r="P1008">
        <v>0</v>
      </c>
      <c r="Q1008" s="501">
        <v>13289</v>
      </c>
      <c r="R1008" t="s">
        <v>7927</v>
      </c>
      <c r="S1008">
        <v>0</v>
      </c>
    </row>
    <row r="1009" spans="1:19">
      <c r="A1009" t="s">
        <v>9201</v>
      </c>
      <c r="B1009">
        <v>103</v>
      </c>
      <c r="C1009" t="s">
        <v>7328</v>
      </c>
      <c r="D1009" t="s">
        <v>11125</v>
      </c>
      <c r="E1009" t="s">
        <v>11131</v>
      </c>
      <c r="F1009" t="s">
        <v>11127</v>
      </c>
      <c r="G1009" t="s">
        <v>11132</v>
      </c>
      <c r="H1009">
        <v>-1</v>
      </c>
      <c r="I1009">
        <v>-1.75</v>
      </c>
      <c r="J1009">
        <v>180</v>
      </c>
      <c r="L1009" t="s">
        <v>7330</v>
      </c>
      <c r="M1009" t="s">
        <v>7330</v>
      </c>
      <c r="N1009" s="501">
        <v>11374</v>
      </c>
      <c r="P1009">
        <v>0</v>
      </c>
      <c r="Q1009" s="501">
        <v>11374</v>
      </c>
      <c r="R1009" t="s">
        <v>7927</v>
      </c>
      <c r="S1009">
        <v>0</v>
      </c>
    </row>
    <row r="1010" spans="1:19">
      <c r="A1010" t="s">
        <v>9201</v>
      </c>
      <c r="B1010">
        <v>103</v>
      </c>
      <c r="C1010" t="s">
        <v>7328</v>
      </c>
      <c r="D1010" t="s">
        <v>11125</v>
      </c>
      <c r="E1010" t="s">
        <v>11133</v>
      </c>
      <c r="F1010" t="s">
        <v>11127</v>
      </c>
      <c r="G1010" t="s">
        <v>11134</v>
      </c>
      <c r="H1010">
        <v>-1.25</v>
      </c>
      <c r="I1010">
        <v>-0.75</v>
      </c>
      <c r="J1010">
        <v>180</v>
      </c>
      <c r="L1010" t="s">
        <v>7330</v>
      </c>
      <c r="M1010" t="s">
        <v>7330</v>
      </c>
      <c r="N1010" s="501">
        <v>6102</v>
      </c>
      <c r="P1010">
        <v>0</v>
      </c>
      <c r="Q1010" s="501">
        <v>6102</v>
      </c>
      <c r="R1010" t="s">
        <v>7927</v>
      </c>
      <c r="S1010">
        <v>0</v>
      </c>
    </row>
    <row r="1011" spans="1:19">
      <c r="A1011" t="s">
        <v>9201</v>
      </c>
      <c r="B1011">
        <v>103</v>
      </c>
      <c r="C1011" t="s">
        <v>7328</v>
      </c>
      <c r="D1011" t="s">
        <v>11125</v>
      </c>
      <c r="E1011" t="s">
        <v>11135</v>
      </c>
      <c r="F1011" t="s">
        <v>11127</v>
      </c>
      <c r="G1011" t="s">
        <v>11136</v>
      </c>
      <c r="H1011">
        <v>-1.25</v>
      </c>
      <c r="I1011">
        <v>-1.25</v>
      </c>
      <c r="J1011">
        <v>180</v>
      </c>
      <c r="L1011" t="s">
        <v>7330</v>
      </c>
      <c r="M1011" t="s">
        <v>7330</v>
      </c>
      <c r="N1011" s="501">
        <v>12738</v>
      </c>
      <c r="P1011">
        <v>0</v>
      </c>
      <c r="Q1011" s="501">
        <v>12738</v>
      </c>
      <c r="R1011" t="s">
        <v>7927</v>
      </c>
      <c r="S1011">
        <v>0</v>
      </c>
    </row>
    <row r="1012" spans="1:19">
      <c r="A1012" t="s">
        <v>9201</v>
      </c>
      <c r="B1012">
        <v>103</v>
      </c>
      <c r="C1012" t="s">
        <v>7328</v>
      </c>
      <c r="D1012" t="s">
        <v>11125</v>
      </c>
      <c r="E1012" t="s">
        <v>11137</v>
      </c>
      <c r="F1012" t="s">
        <v>11127</v>
      </c>
      <c r="G1012" t="s">
        <v>11138</v>
      </c>
      <c r="H1012">
        <v>-1.25</v>
      </c>
      <c r="I1012">
        <v>-1.75</v>
      </c>
      <c r="J1012">
        <v>180</v>
      </c>
      <c r="L1012" t="s">
        <v>7330</v>
      </c>
      <c r="M1012" t="s">
        <v>7330</v>
      </c>
      <c r="N1012" s="501">
        <v>8548</v>
      </c>
      <c r="P1012">
        <v>0</v>
      </c>
      <c r="Q1012" s="501">
        <v>8548</v>
      </c>
      <c r="R1012" t="s">
        <v>7927</v>
      </c>
      <c r="S1012">
        <v>0</v>
      </c>
    </row>
    <row r="1013" spans="1:19">
      <c r="A1013" t="s">
        <v>9201</v>
      </c>
      <c r="B1013">
        <v>103</v>
      </c>
      <c r="C1013" t="s">
        <v>7328</v>
      </c>
      <c r="D1013" t="s">
        <v>11125</v>
      </c>
      <c r="E1013" t="s">
        <v>11139</v>
      </c>
      <c r="F1013" t="s">
        <v>11127</v>
      </c>
      <c r="G1013" t="s">
        <v>11140</v>
      </c>
      <c r="H1013">
        <v>-1.5</v>
      </c>
      <c r="I1013">
        <v>-0.75</v>
      </c>
      <c r="J1013">
        <v>180</v>
      </c>
      <c r="L1013" t="s">
        <v>7330</v>
      </c>
      <c r="M1013" t="s">
        <v>7330</v>
      </c>
      <c r="N1013" s="501">
        <v>5147</v>
      </c>
      <c r="P1013">
        <v>0</v>
      </c>
      <c r="Q1013" s="501">
        <v>5147</v>
      </c>
      <c r="R1013" t="s">
        <v>7927</v>
      </c>
      <c r="S1013">
        <v>0</v>
      </c>
    </row>
    <row r="1014" spans="1:19">
      <c r="A1014" t="s">
        <v>9201</v>
      </c>
      <c r="B1014">
        <v>103</v>
      </c>
      <c r="C1014" t="s">
        <v>7328</v>
      </c>
      <c r="D1014" t="s">
        <v>11125</v>
      </c>
      <c r="E1014" t="s">
        <v>11141</v>
      </c>
      <c r="F1014" t="s">
        <v>11127</v>
      </c>
      <c r="G1014" t="s">
        <v>11142</v>
      </c>
      <c r="H1014">
        <v>-1.5</v>
      </c>
      <c r="I1014">
        <v>-1.25</v>
      </c>
      <c r="J1014">
        <v>180</v>
      </c>
      <c r="L1014" t="s">
        <v>7330</v>
      </c>
      <c r="M1014" t="s">
        <v>7330</v>
      </c>
      <c r="N1014" s="501">
        <v>10815</v>
      </c>
      <c r="P1014">
        <v>0</v>
      </c>
      <c r="Q1014" s="501">
        <v>10815</v>
      </c>
      <c r="R1014" t="s">
        <v>7927</v>
      </c>
      <c r="S1014">
        <v>0</v>
      </c>
    </row>
    <row r="1015" spans="1:19">
      <c r="A1015" t="s">
        <v>9201</v>
      </c>
      <c r="B1015">
        <v>103</v>
      </c>
      <c r="C1015" t="s">
        <v>7328</v>
      </c>
      <c r="D1015" t="s">
        <v>11125</v>
      </c>
      <c r="E1015" t="s">
        <v>11143</v>
      </c>
      <c r="F1015" t="s">
        <v>11127</v>
      </c>
      <c r="G1015" t="s">
        <v>11144</v>
      </c>
      <c r="H1015">
        <v>-1.5</v>
      </c>
      <c r="I1015">
        <v>-1.75</v>
      </c>
      <c r="J1015">
        <v>180</v>
      </c>
      <c r="L1015" t="s">
        <v>7330</v>
      </c>
      <c r="M1015" t="s">
        <v>7330</v>
      </c>
      <c r="N1015" s="501">
        <v>8982</v>
      </c>
      <c r="P1015">
        <v>0</v>
      </c>
      <c r="Q1015" s="501">
        <v>8982</v>
      </c>
      <c r="R1015" t="s">
        <v>7927</v>
      </c>
      <c r="S1015">
        <v>0</v>
      </c>
    </row>
    <row r="1016" spans="1:19">
      <c r="A1016" t="s">
        <v>9201</v>
      </c>
      <c r="B1016">
        <v>103</v>
      </c>
      <c r="C1016" t="s">
        <v>7328</v>
      </c>
      <c r="D1016" t="s">
        <v>11125</v>
      </c>
      <c r="E1016" t="s">
        <v>11145</v>
      </c>
      <c r="F1016" t="s">
        <v>11127</v>
      </c>
      <c r="G1016" t="s">
        <v>11146</v>
      </c>
      <c r="H1016">
        <v>-1.75</v>
      </c>
      <c r="I1016">
        <v>-0.75</v>
      </c>
      <c r="J1016">
        <v>180</v>
      </c>
      <c r="L1016" t="s">
        <v>7330</v>
      </c>
      <c r="M1016" t="s">
        <v>7330</v>
      </c>
      <c r="N1016" s="501">
        <v>1309</v>
      </c>
      <c r="P1016">
        <v>0</v>
      </c>
      <c r="Q1016" s="501">
        <v>1309</v>
      </c>
      <c r="R1016" t="s">
        <v>7927</v>
      </c>
      <c r="S1016">
        <v>0</v>
      </c>
    </row>
    <row r="1017" spans="1:19">
      <c r="A1017" t="s">
        <v>9201</v>
      </c>
      <c r="B1017">
        <v>103</v>
      </c>
      <c r="C1017" t="s">
        <v>7328</v>
      </c>
      <c r="D1017" t="s">
        <v>11125</v>
      </c>
      <c r="E1017" t="s">
        <v>11147</v>
      </c>
      <c r="F1017" t="s">
        <v>11127</v>
      </c>
      <c r="G1017" t="s">
        <v>11148</v>
      </c>
      <c r="H1017">
        <v>-1.75</v>
      </c>
      <c r="I1017">
        <v>-1.25</v>
      </c>
      <c r="J1017">
        <v>180</v>
      </c>
      <c r="L1017" t="s">
        <v>7330</v>
      </c>
      <c r="M1017" t="s">
        <v>7330</v>
      </c>
      <c r="N1017" s="501">
        <v>11928</v>
      </c>
      <c r="P1017">
        <v>0</v>
      </c>
      <c r="Q1017" s="501">
        <v>11928</v>
      </c>
      <c r="R1017" t="s">
        <v>7927</v>
      </c>
      <c r="S1017">
        <v>0</v>
      </c>
    </row>
    <row r="1018" spans="1:19">
      <c r="A1018" t="s">
        <v>9201</v>
      </c>
      <c r="B1018">
        <v>103</v>
      </c>
      <c r="C1018" t="s">
        <v>7328</v>
      </c>
      <c r="D1018" t="s">
        <v>11125</v>
      </c>
      <c r="E1018" t="s">
        <v>11149</v>
      </c>
      <c r="F1018" t="s">
        <v>11127</v>
      </c>
      <c r="G1018" t="s">
        <v>11150</v>
      </c>
      <c r="H1018">
        <v>-1.75</v>
      </c>
      <c r="I1018">
        <v>-1.75</v>
      </c>
      <c r="J1018">
        <v>180</v>
      </c>
      <c r="L1018" t="s">
        <v>7330</v>
      </c>
      <c r="M1018" t="s">
        <v>7330</v>
      </c>
      <c r="N1018" s="501">
        <v>8113</v>
      </c>
      <c r="P1018">
        <v>0</v>
      </c>
      <c r="Q1018" s="501">
        <v>8113</v>
      </c>
      <c r="R1018" t="s">
        <v>7927</v>
      </c>
      <c r="S1018">
        <v>0</v>
      </c>
    </row>
    <row r="1019" spans="1:19">
      <c r="A1019" t="s">
        <v>9201</v>
      </c>
      <c r="B1019">
        <v>103</v>
      </c>
      <c r="C1019" t="s">
        <v>7328</v>
      </c>
      <c r="D1019" t="s">
        <v>11125</v>
      </c>
      <c r="E1019" t="s">
        <v>11151</v>
      </c>
      <c r="F1019" t="s">
        <v>11127</v>
      </c>
      <c r="G1019" t="s">
        <v>11152</v>
      </c>
      <c r="H1019">
        <v>-2</v>
      </c>
      <c r="I1019">
        <v>-0.75</v>
      </c>
      <c r="J1019">
        <v>180</v>
      </c>
      <c r="L1019" t="s">
        <v>7330</v>
      </c>
      <c r="M1019" t="s">
        <v>7330</v>
      </c>
      <c r="N1019" s="501">
        <v>2942</v>
      </c>
      <c r="P1019">
        <v>0</v>
      </c>
      <c r="Q1019" s="501">
        <v>2942</v>
      </c>
      <c r="R1019" t="s">
        <v>7927</v>
      </c>
      <c r="S1019">
        <v>0</v>
      </c>
    </row>
    <row r="1020" spans="1:19">
      <c r="A1020" t="s">
        <v>9201</v>
      </c>
      <c r="B1020">
        <v>103</v>
      </c>
      <c r="C1020" t="s">
        <v>7328</v>
      </c>
      <c r="D1020" t="s">
        <v>11125</v>
      </c>
      <c r="E1020" t="s">
        <v>11153</v>
      </c>
      <c r="F1020" t="s">
        <v>11127</v>
      </c>
      <c r="G1020" t="s">
        <v>11154</v>
      </c>
      <c r="H1020">
        <v>-2</v>
      </c>
      <c r="I1020">
        <v>-1.25</v>
      </c>
      <c r="J1020">
        <v>180</v>
      </c>
      <c r="L1020" t="s">
        <v>7330</v>
      </c>
      <c r="M1020" t="s">
        <v>7330</v>
      </c>
      <c r="N1020" s="501">
        <v>18968</v>
      </c>
      <c r="P1020">
        <v>0</v>
      </c>
      <c r="Q1020" s="501">
        <v>18968</v>
      </c>
      <c r="R1020" t="s">
        <v>7927</v>
      </c>
      <c r="S1020">
        <v>0</v>
      </c>
    </row>
    <row r="1021" spans="1:19">
      <c r="A1021" t="s">
        <v>9201</v>
      </c>
      <c r="B1021">
        <v>103</v>
      </c>
      <c r="C1021" t="s">
        <v>7328</v>
      </c>
      <c r="D1021" t="s">
        <v>11125</v>
      </c>
      <c r="E1021" t="s">
        <v>11155</v>
      </c>
      <c r="F1021" t="s">
        <v>11127</v>
      </c>
      <c r="G1021" t="s">
        <v>11156</v>
      </c>
      <c r="H1021">
        <v>-2</v>
      </c>
      <c r="I1021">
        <v>-1.75</v>
      </c>
      <c r="J1021">
        <v>180</v>
      </c>
      <c r="L1021" t="s">
        <v>7330</v>
      </c>
      <c r="M1021" t="s">
        <v>7330</v>
      </c>
      <c r="N1021" s="501">
        <v>10907</v>
      </c>
      <c r="P1021">
        <v>30</v>
      </c>
      <c r="Q1021" s="501">
        <v>10877</v>
      </c>
      <c r="R1021" t="s">
        <v>7927</v>
      </c>
      <c r="S1021">
        <v>0</v>
      </c>
    </row>
    <row r="1022" spans="1:19">
      <c r="A1022" t="s">
        <v>9201</v>
      </c>
      <c r="B1022">
        <v>103</v>
      </c>
      <c r="C1022" t="s">
        <v>7328</v>
      </c>
      <c r="D1022" t="s">
        <v>11125</v>
      </c>
      <c r="E1022" t="s">
        <v>11157</v>
      </c>
      <c r="F1022" t="s">
        <v>11127</v>
      </c>
      <c r="G1022" t="s">
        <v>11158</v>
      </c>
      <c r="H1022">
        <v>-2.25</v>
      </c>
      <c r="I1022">
        <v>-0.75</v>
      </c>
      <c r="J1022">
        <v>180</v>
      </c>
      <c r="L1022" t="s">
        <v>7330</v>
      </c>
      <c r="M1022" t="s">
        <v>7330</v>
      </c>
      <c r="N1022" s="501">
        <v>2123</v>
      </c>
      <c r="P1022">
        <v>0</v>
      </c>
      <c r="Q1022" s="501">
        <v>2123</v>
      </c>
      <c r="R1022" t="s">
        <v>7927</v>
      </c>
      <c r="S1022">
        <v>0</v>
      </c>
    </row>
    <row r="1023" spans="1:19">
      <c r="A1023" t="s">
        <v>9201</v>
      </c>
      <c r="B1023">
        <v>103</v>
      </c>
      <c r="C1023" t="s">
        <v>7328</v>
      </c>
      <c r="D1023" t="s">
        <v>11125</v>
      </c>
      <c r="E1023" t="s">
        <v>11159</v>
      </c>
      <c r="F1023" t="s">
        <v>11127</v>
      </c>
      <c r="G1023" t="s">
        <v>11160</v>
      </c>
      <c r="H1023">
        <v>-2.25</v>
      </c>
      <c r="I1023">
        <v>-1.25</v>
      </c>
      <c r="J1023">
        <v>180</v>
      </c>
      <c r="L1023" t="s">
        <v>7330</v>
      </c>
      <c r="M1023" t="s">
        <v>7330</v>
      </c>
      <c r="N1023" s="501">
        <v>17225</v>
      </c>
      <c r="P1023">
        <v>0</v>
      </c>
      <c r="Q1023" s="501">
        <v>17225</v>
      </c>
      <c r="R1023" t="s">
        <v>7927</v>
      </c>
      <c r="S1023">
        <v>0</v>
      </c>
    </row>
    <row r="1024" spans="1:19">
      <c r="A1024" t="s">
        <v>9201</v>
      </c>
      <c r="B1024">
        <v>103</v>
      </c>
      <c r="C1024" t="s">
        <v>7328</v>
      </c>
      <c r="D1024" t="s">
        <v>11125</v>
      </c>
      <c r="E1024" t="s">
        <v>11161</v>
      </c>
      <c r="F1024" t="s">
        <v>11127</v>
      </c>
      <c r="G1024" t="s">
        <v>11162</v>
      </c>
      <c r="H1024">
        <v>-2.25</v>
      </c>
      <c r="I1024">
        <v>-1.75</v>
      </c>
      <c r="J1024">
        <v>180</v>
      </c>
      <c r="L1024" t="s">
        <v>7330</v>
      </c>
      <c r="M1024" t="s">
        <v>7330</v>
      </c>
      <c r="N1024" s="501">
        <v>12313</v>
      </c>
      <c r="P1024">
        <v>0</v>
      </c>
      <c r="Q1024" s="501">
        <v>12313</v>
      </c>
      <c r="R1024" t="s">
        <v>7927</v>
      </c>
      <c r="S1024">
        <v>0</v>
      </c>
    </row>
    <row r="1025" spans="1:19">
      <c r="A1025" t="s">
        <v>9201</v>
      </c>
      <c r="B1025">
        <v>103</v>
      </c>
      <c r="C1025" t="s">
        <v>7328</v>
      </c>
      <c r="D1025" t="s">
        <v>11125</v>
      </c>
      <c r="E1025" t="s">
        <v>11163</v>
      </c>
      <c r="F1025" t="s">
        <v>11127</v>
      </c>
      <c r="G1025" t="s">
        <v>11164</v>
      </c>
      <c r="H1025">
        <v>-2.5</v>
      </c>
      <c r="I1025">
        <v>-0.75</v>
      </c>
      <c r="J1025">
        <v>180</v>
      </c>
      <c r="L1025" t="s">
        <v>7330</v>
      </c>
      <c r="M1025" t="s">
        <v>7330</v>
      </c>
      <c r="N1025" s="501">
        <v>4024</v>
      </c>
      <c r="P1025">
        <v>0</v>
      </c>
      <c r="Q1025" s="501">
        <v>4024</v>
      </c>
      <c r="R1025" t="s">
        <v>7927</v>
      </c>
      <c r="S1025">
        <v>0</v>
      </c>
    </row>
    <row r="1026" spans="1:19">
      <c r="A1026" t="s">
        <v>9201</v>
      </c>
      <c r="B1026">
        <v>103</v>
      </c>
      <c r="C1026" t="s">
        <v>7328</v>
      </c>
      <c r="D1026" t="s">
        <v>11125</v>
      </c>
      <c r="E1026" t="s">
        <v>11165</v>
      </c>
      <c r="F1026" t="s">
        <v>11127</v>
      </c>
      <c r="G1026" t="s">
        <v>11106</v>
      </c>
      <c r="H1026">
        <v>-2.5</v>
      </c>
      <c r="I1026">
        <v>-1.25</v>
      </c>
      <c r="J1026">
        <v>180</v>
      </c>
      <c r="L1026" t="s">
        <v>7330</v>
      </c>
      <c r="M1026" t="s">
        <v>7330</v>
      </c>
      <c r="N1026" s="501">
        <v>16679</v>
      </c>
      <c r="P1026">
        <v>0</v>
      </c>
      <c r="Q1026" s="501">
        <v>16679</v>
      </c>
      <c r="R1026" t="s">
        <v>7927</v>
      </c>
      <c r="S1026">
        <v>0</v>
      </c>
    </row>
    <row r="1027" spans="1:19">
      <c r="A1027" t="s">
        <v>9201</v>
      </c>
      <c r="B1027">
        <v>103</v>
      </c>
      <c r="C1027" t="s">
        <v>7328</v>
      </c>
      <c r="D1027" t="s">
        <v>11125</v>
      </c>
      <c r="E1027" t="s">
        <v>11166</v>
      </c>
      <c r="F1027" t="s">
        <v>11127</v>
      </c>
      <c r="G1027" t="s">
        <v>11167</v>
      </c>
      <c r="H1027">
        <v>-2.5</v>
      </c>
      <c r="I1027">
        <v>-1.75</v>
      </c>
      <c r="J1027">
        <v>180</v>
      </c>
      <c r="L1027" t="s">
        <v>7330</v>
      </c>
      <c r="M1027" t="s">
        <v>7330</v>
      </c>
      <c r="N1027" s="501">
        <v>4388</v>
      </c>
      <c r="P1027">
        <v>30</v>
      </c>
      <c r="Q1027" s="501">
        <v>4358</v>
      </c>
      <c r="R1027" t="s">
        <v>7927</v>
      </c>
      <c r="S1027">
        <v>0</v>
      </c>
    </row>
    <row r="1028" spans="1:19">
      <c r="A1028" t="s">
        <v>9201</v>
      </c>
      <c r="B1028">
        <v>103</v>
      </c>
      <c r="C1028" t="s">
        <v>7328</v>
      </c>
      <c r="D1028" t="s">
        <v>11125</v>
      </c>
      <c r="E1028" t="s">
        <v>11168</v>
      </c>
      <c r="F1028" t="s">
        <v>11127</v>
      </c>
      <c r="G1028" t="s">
        <v>11169</v>
      </c>
      <c r="H1028">
        <v>-2.75</v>
      </c>
      <c r="I1028">
        <v>-0.75</v>
      </c>
      <c r="J1028">
        <v>180</v>
      </c>
      <c r="L1028" t="s">
        <v>7330</v>
      </c>
      <c r="M1028" t="s">
        <v>7330</v>
      </c>
      <c r="N1028" s="501">
        <v>2933</v>
      </c>
      <c r="P1028">
        <v>0</v>
      </c>
      <c r="Q1028" s="501">
        <v>2933</v>
      </c>
      <c r="R1028" t="s">
        <v>7927</v>
      </c>
      <c r="S1028">
        <v>0</v>
      </c>
    </row>
    <row r="1029" spans="1:19">
      <c r="A1029" t="s">
        <v>9201</v>
      </c>
      <c r="B1029">
        <v>103</v>
      </c>
      <c r="C1029" t="s">
        <v>7328</v>
      </c>
      <c r="D1029" t="s">
        <v>11125</v>
      </c>
      <c r="E1029" t="s">
        <v>11170</v>
      </c>
      <c r="F1029" t="s">
        <v>11127</v>
      </c>
      <c r="G1029" t="s">
        <v>11171</v>
      </c>
      <c r="H1029">
        <v>-2.75</v>
      </c>
      <c r="I1029">
        <v>-1.25</v>
      </c>
      <c r="J1029">
        <v>180</v>
      </c>
      <c r="L1029" t="s">
        <v>7330</v>
      </c>
      <c r="M1029" t="s">
        <v>7330</v>
      </c>
      <c r="N1029" s="501">
        <v>13072</v>
      </c>
      <c r="P1029">
        <v>0</v>
      </c>
      <c r="Q1029" s="501">
        <v>13072</v>
      </c>
      <c r="R1029" t="s">
        <v>7927</v>
      </c>
      <c r="S1029">
        <v>0</v>
      </c>
    </row>
    <row r="1030" spans="1:19">
      <c r="A1030" t="s">
        <v>9201</v>
      </c>
      <c r="B1030">
        <v>103</v>
      </c>
      <c r="C1030" t="s">
        <v>7328</v>
      </c>
      <c r="D1030" t="s">
        <v>11125</v>
      </c>
      <c r="E1030" t="s">
        <v>11172</v>
      </c>
      <c r="F1030" t="s">
        <v>11127</v>
      </c>
      <c r="G1030" t="s">
        <v>11173</v>
      </c>
      <c r="H1030">
        <v>-2.75</v>
      </c>
      <c r="I1030">
        <v>-1.75</v>
      </c>
      <c r="J1030">
        <v>180</v>
      </c>
      <c r="L1030" t="s">
        <v>7330</v>
      </c>
      <c r="M1030" t="s">
        <v>7330</v>
      </c>
      <c r="N1030" s="501">
        <v>10773</v>
      </c>
      <c r="P1030">
        <v>0</v>
      </c>
      <c r="Q1030" s="501">
        <v>10773</v>
      </c>
      <c r="R1030" t="s">
        <v>7927</v>
      </c>
      <c r="S1030">
        <v>0</v>
      </c>
    </row>
    <row r="1031" spans="1:19">
      <c r="A1031" t="s">
        <v>9201</v>
      </c>
      <c r="B1031">
        <v>103</v>
      </c>
      <c r="C1031" t="s">
        <v>7328</v>
      </c>
      <c r="D1031" t="s">
        <v>11125</v>
      </c>
      <c r="E1031" t="s">
        <v>11174</v>
      </c>
      <c r="F1031" t="s">
        <v>11127</v>
      </c>
      <c r="G1031" t="s">
        <v>11114</v>
      </c>
      <c r="H1031">
        <v>-3</v>
      </c>
      <c r="I1031">
        <v>-0.75</v>
      </c>
      <c r="J1031">
        <v>180</v>
      </c>
      <c r="L1031" t="s">
        <v>7330</v>
      </c>
      <c r="M1031" t="s">
        <v>7330</v>
      </c>
      <c r="N1031" s="501">
        <v>5025</v>
      </c>
      <c r="P1031">
        <v>0</v>
      </c>
      <c r="Q1031" s="501">
        <v>5025</v>
      </c>
      <c r="R1031" t="s">
        <v>7927</v>
      </c>
      <c r="S1031">
        <v>0</v>
      </c>
    </row>
    <row r="1032" spans="1:19">
      <c r="A1032" t="s">
        <v>9201</v>
      </c>
      <c r="B1032">
        <v>103</v>
      </c>
      <c r="C1032" t="s">
        <v>7328</v>
      </c>
      <c r="D1032" t="s">
        <v>11125</v>
      </c>
      <c r="E1032" t="s">
        <v>11175</v>
      </c>
      <c r="F1032" t="s">
        <v>11127</v>
      </c>
      <c r="G1032" t="s">
        <v>11176</v>
      </c>
      <c r="H1032">
        <v>-3</v>
      </c>
      <c r="I1032">
        <v>-1.25</v>
      </c>
      <c r="J1032">
        <v>180</v>
      </c>
      <c r="L1032" t="s">
        <v>7330</v>
      </c>
      <c r="M1032" t="s">
        <v>7330</v>
      </c>
      <c r="N1032" s="501">
        <v>16643</v>
      </c>
      <c r="P1032">
        <v>0</v>
      </c>
      <c r="Q1032" s="501">
        <v>16643</v>
      </c>
      <c r="R1032" t="s">
        <v>7927</v>
      </c>
      <c r="S1032">
        <v>0</v>
      </c>
    </row>
    <row r="1033" spans="1:19">
      <c r="A1033" t="s">
        <v>9201</v>
      </c>
      <c r="B1033">
        <v>103</v>
      </c>
      <c r="C1033" t="s">
        <v>7328</v>
      </c>
      <c r="D1033" t="s">
        <v>11125</v>
      </c>
      <c r="E1033" t="s">
        <v>11177</v>
      </c>
      <c r="F1033" t="s">
        <v>11127</v>
      </c>
      <c r="G1033" t="s">
        <v>11178</v>
      </c>
      <c r="H1033">
        <v>-3</v>
      </c>
      <c r="I1033">
        <v>-1.75</v>
      </c>
      <c r="J1033">
        <v>180</v>
      </c>
      <c r="L1033" t="s">
        <v>7330</v>
      </c>
      <c r="M1033" t="s">
        <v>7330</v>
      </c>
      <c r="N1033" s="501">
        <v>11219</v>
      </c>
      <c r="P1033">
        <v>0</v>
      </c>
      <c r="Q1033" s="501">
        <v>11219</v>
      </c>
      <c r="R1033" t="s">
        <v>7927</v>
      </c>
      <c r="S1033">
        <v>0</v>
      </c>
    </row>
    <row r="1034" spans="1:19">
      <c r="A1034" t="s">
        <v>9201</v>
      </c>
      <c r="B1034">
        <v>103</v>
      </c>
      <c r="C1034" t="s">
        <v>7328</v>
      </c>
      <c r="D1034" t="s">
        <v>11125</v>
      </c>
      <c r="E1034" t="s">
        <v>11179</v>
      </c>
      <c r="F1034" t="s">
        <v>11127</v>
      </c>
      <c r="G1034" t="s">
        <v>11180</v>
      </c>
      <c r="H1034">
        <v>-3.25</v>
      </c>
      <c r="I1034">
        <v>-0.75</v>
      </c>
      <c r="J1034">
        <v>180</v>
      </c>
      <c r="L1034" t="s">
        <v>7330</v>
      </c>
      <c r="M1034" t="s">
        <v>7330</v>
      </c>
      <c r="N1034" s="501">
        <v>3073</v>
      </c>
      <c r="P1034">
        <v>0</v>
      </c>
      <c r="Q1034" s="501">
        <v>3073</v>
      </c>
      <c r="R1034" t="s">
        <v>7927</v>
      </c>
      <c r="S1034">
        <v>0</v>
      </c>
    </row>
    <row r="1035" spans="1:19">
      <c r="A1035" t="s">
        <v>9201</v>
      </c>
      <c r="B1035">
        <v>103</v>
      </c>
      <c r="C1035" t="s">
        <v>7328</v>
      </c>
      <c r="D1035" t="s">
        <v>11125</v>
      </c>
      <c r="E1035" t="s">
        <v>11181</v>
      </c>
      <c r="F1035" t="s">
        <v>11127</v>
      </c>
      <c r="G1035" t="s">
        <v>11182</v>
      </c>
      <c r="H1035">
        <v>-3.25</v>
      </c>
      <c r="I1035">
        <v>-1.25</v>
      </c>
      <c r="J1035">
        <v>180</v>
      </c>
      <c r="L1035" t="s">
        <v>7330</v>
      </c>
      <c r="M1035" t="s">
        <v>7330</v>
      </c>
      <c r="N1035" s="501">
        <v>15263</v>
      </c>
      <c r="P1035">
        <v>90</v>
      </c>
      <c r="Q1035" s="501">
        <v>15173</v>
      </c>
      <c r="R1035" t="s">
        <v>7927</v>
      </c>
      <c r="S1035">
        <v>0</v>
      </c>
    </row>
    <row r="1036" spans="1:19">
      <c r="A1036" t="s">
        <v>9201</v>
      </c>
      <c r="B1036">
        <v>103</v>
      </c>
      <c r="C1036" t="s">
        <v>7328</v>
      </c>
      <c r="D1036" t="s">
        <v>11125</v>
      </c>
      <c r="E1036" t="s">
        <v>11183</v>
      </c>
      <c r="F1036" t="s">
        <v>11127</v>
      </c>
      <c r="G1036" t="s">
        <v>11184</v>
      </c>
      <c r="H1036">
        <v>-3.25</v>
      </c>
      <c r="I1036">
        <v>-1.75</v>
      </c>
      <c r="J1036">
        <v>180</v>
      </c>
      <c r="L1036" t="s">
        <v>7330</v>
      </c>
      <c r="M1036" t="s">
        <v>7330</v>
      </c>
      <c r="N1036" s="501">
        <v>10905</v>
      </c>
      <c r="P1036">
        <v>0</v>
      </c>
      <c r="Q1036" s="501">
        <v>10905</v>
      </c>
      <c r="R1036" t="s">
        <v>7927</v>
      </c>
      <c r="S1036">
        <v>0</v>
      </c>
    </row>
    <row r="1037" spans="1:19">
      <c r="A1037" t="s">
        <v>9201</v>
      </c>
      <c r="B1037">
        <v>103</v>
      </c>
      <c r="C1037" t="s">
        <v>7328</v>
      </c>
      <c r="D1037" t="s">
        <v>11125</v>
      </c>
      <c r="E1037" t="s">
        <v>11185</v>
      </c>
      <c r="F1037" t="s">
        <v>11127</v>
      </c>
      <c r="G1037" t="s">
        <v>11186</v>
      </c>
      <c r="H1037">
        <v>-3.5</v>
      </c>
      <c r="I1037">
        <v>-0.75</v>
      </c>
      <c r="J1037">
        <v>180</v>
      </c>
      <c r="L1037" t="s">
        <v>7330</v>
      </c>
      <c r="M1037" t="s">
        <v>7330</v>
      </c>
      <c r="N1037" s="501">
        <v>6685</v>
      </c>
      <c r="P1037">
        <v>0</v>
      </c>
      <c r="Q1037" s="501">
        <v>6685</v>
      </c>
      <c r="R1037" t="s">
        <v>7927</v>
      </c>
      <c r="S1037">
        <v>0</v>
      </c>
    </row>
    <row r="1038" spans="1:19">
      <c r="A1038" t="s">
        <v>9201</v>
      </c>
      <c r="B1038">
        <v>103</v>
      </c>
      <c r="C1038" t="s">
        <v>7328</v>
      </c>
      <c r="D1038" t="s">
        <v>11125</v>
      </c>
      <c r="E1038" t="s">
        <v>11187</v>
      </c>
      <c r="F1038" t="s">
        <v>11127</v>
      </c>
      <c r="G1038" t="s">
        <v>11188</v>
      </c>
      <c r="H1038">
        <v>-3.5</v>
      </c>
      <c r="I1038">
        <v>-1.25</v>
      </c>
      <c r="J1038">
        <v>180</v>
      </c>
      <c r="L1038" t="s">
        <v>7330</v>
      </c>
      <c r="M1038" t="s">
        <v>7330</v>
      </c>
      <c r="N1038" s="501">
        <v>17883</v>
      </c>
      <c r="P1038">
        <v>0</v>
      </c>
      <c r="Q1038" s="501">
        <v>17883</v>
      </c>
      <c r="R1038" t="s">
        <v>7927</v>
      </c>
      <c r="S1038">
        <v>0</v>
      </c>
    </row>
    <row r="1039" spans="1:19">
      <c r="A1039" t="s">
        <v>9201</v>
      </c>
      <c r="B1039">
        <v>103</v>
      </c>
      <c r="C1039" t="s">
        <v>7328</v>
      </c>
      <c r="D1039" t="s">
        <v>11125</v>
      </c>
      <c r="E1039" t="s">
        <v>11189</v>
      </c>
      <c r="F1039" t="s">
        <v>11127</v>
      </c>
      <c r="G1039" t="s">
        <v>11190</v>
      </c>
      <c r="H1039">
        <v>-3.5</v>
      </c>
      <c r="I1039">
        <v>-1.75</v>
      </c>
      <c r="J1039">
        <v>180</v>
      </c>
      <c r="L1039" t="s">
        <v>7330</v>
      </c>
      <c r="M1039" t="s">
        <v>7330</v>
      </c>
      <c r="N1039" s="501">
        <v>13860</v>
      </c>
      <c r="P1039">
        <v>0</v>
      </c>
      <c r="Q1039" s="501">
        <v>13860</v>
      </c>
      <c r="R1039" t="s">
        <v>7927</v>
      </c>
      <c r="S1039">
        <v>0</v>
      </c>
    </row>
    <row r="1040" spans="1:19">
      <c r="A1040" t="s">
        <v>9201</v>
      </c>
      <c r="B1040">
        <v>103</v>
      </c>
      <c r="C1040" t="s">
        <v>7328</v>
      </c>
      <c r="D1040" t="s">
        <v>11125</v>
      </c>
      <c r="E1040" t="s">
        <v>11189</v>
      </c>
      <c r="F1040" t="s">
        <v>11127</v>
      </c>
      <c r="G1040" t="s">
        <v>11190</v>
      </c>
      <c r="H1040">
        <v>-3.5</v>
      </c>
      <c r="I1040">
        <v>-1.75</v>
      </c>
      <c r="J1040">
        <v>180</v>
      </c>
      <c r="K1040" t="s">
        <v>10179</v>
      </c>
      <c r="L1040" t="s">
        <v>11993</v>
      </c>
      <c r="M1040" t="s">
        <v>11994</v>
      </c>
      <c r="N1040" s="501"/>
      <c r="O1040">
        <v>45</v>
      </c>
      <c r="P1040">
        <v>45</v>
      </c>
      <c r="Q1040" s="501"/>
      <c r="R1040" t="s">
        <v>7927</v>
      </c>
      <c r="S1040">
        <v>0</v>
      </c>
    </row>
    <row r="1041" spans="1:19">
      <c r="A1041" t="s">
        <v>9201</v>
      </c>
      <c r="B1041">
        <v>103</v>
      </c>
      <c r="C1041" t="s">
        <v>7328</v>
      </c>
      <c r="D1041" t="s">
        <v>11125</v>
      </c>
      <c r="E1041" t="s">
        <v>11191</v>
      </c>
      <c r="F1041" t="s">
        <v>11127</v>
      </c>
      <c r="G1041" t="s">
        <v>11192</v>
      </c>
      <c r="H1041">
        <v>-3.75</v>
      </c>
      <c r="I1041">
        <v>-0.75</v>
      </c>
      <c r="J1041">
        <v>180</v>
      </c>
      <c r="L1041" t="s">
        <v>7330</v>
      </c>
      <c r="M1041" t="s">
        <v>7330</v>
      </c>
      <c r="N1041" s="501">
        <v>3163</v>
      </c>
      <c r="P1041">
        <v>0</v>
      </c>
      <c r="Q1041" s="501">
        <v>3163</v>
      </c>
      <c r="R1041" t="s">
        <v>7927</v>
      </c>
      <c r="S1041">
        <v>0</v>
      </c>
    </row>
    <row r="1042" spans="1:19">
      <c r="A1042" t="s">
        <v>9201</v>
      </c>
      <c r="B1042">
        <v>103</v>
      </c>
      <c r="C1042" t="s">
        <v>7328</v>
      </c>
      <c r="D1042" t="s">
        <v>11125</v>
      </c>
      <c r="E1042" t="s">
        <v>11193</v>
      </c>
      <c r="F1042" t="s">
        <v>11127</v>
      </c>
      <c r="G1042" t="s">
        <v>11194</v>
      </c>
      <c r="H1042">
        <v>-3.75</v>
      </c>
      <c r="I1042">
        <v>-1.25</v>
      </c>
      <c r="J1042">
        <v>180</v>
      </c>
      <c r="L1042" t="s">
        <v>7330</v>
      </c>
      <c r="M1042" t="s">
        <v>7330</v>
      </c>
      <c r="N1042" s="501">
        <v>18565</v>
      </c>
      <c r="P1042">
        <v>0</v>
      </c>
      <c r="Q1042" s="501">
        <v>18565</v>
      </c>
      <c r="R1042" t="s">
        <v>7927</v>
      </c>
      <c r="S1042">
        <v>0</v>
      </c>
    </row>
    <row r="1043" spans="1:19">
      <c r="A1043" t="s">
        <v>9201</v>
      </c>
      <c r="B1043">
        <v>103</v>
      </c>
      <c r="C1043" t="s">
        <v>7328</v>
      </c>
      <c r="D1043" t="s">
        <v>11125</v>
      </c>
      <c r="E1043" t="s">
        <v>11195</v>
      </c>
      <c r="F1043" t="s">
        <v>11127</v>
      </c>
      <c r="G1043" t="s">
        <v>11196</v>
      </c>
      <c r="H1043">
        <v>-3.75</v>
      </c>
      <c r="I1043">
        <v>-1.75</v>
      </c>
      <c r="J1043">
        <v>180</v>
      </c>
      <c r="L1043" t="s">
        <v>7330</v>
      </c>
      <c r="M1043" t="s">
        <v>7330</v>
      </c>
      <c r="N1043" s="501">
        <v>13337</v>
      </c>
      <c r="P1043">
        <v>0</v>
      </c>
      <c r="Q1043" s="501">
        <v>13337</v>
      </c>
      <c r="R1043" t="s">
        <v>7927</v>
      </c>
      <c r="S1043">
        <v>0</v>
      </c>
    </row>
    <row r="1044" spans="1:19">
      <c r="A1044" t="s">
        <v>9201</v>
      </c>
      <c r="B1044">
        <v>103</v>
      </c>
      <c r="C1044" t="s">
        <v>7328</v>
      </c>
      <c r="D1044" t="s">
        <v>11125</v>
      </c>
      <c r="E1044" t="s">
        <v>11197</v>
      </c>
      <c r="F1044" t="s">
        <v>11127</v>
      </c>
      <c r="G1044" t="s">
        <v>11198</v>
      </c>
      <c r="H1044">
        <v>-4</v>
      </c>
      <c r="I1044">
        <v>-0.75</v>
      </c>
      <c r="J1044">
        <v>180</v>
      </c>
      <c r="L1044" t="s">
        <v>7330</v>
      </c>
      <c r="M1044" t="s">
        <v>7330</v>
      </c>
      <c r="N1044" s="501">
        <v>3707</v>
      </c>
      <c r="P1044">
        <v>0</v>
      </c>
      <c r="Q1044" s="501">
        <v>3707</v>
      </c>
      <c r="R1044" t="s">
        <v>7927</v>
      </c>
      <c r="S1044">
        <v>0</v>
      </c>
    </row>
    <row r="1045" spans="1:19">
      <c r="A1045" t="s">
        <v>9201</v>
      </c>
      <c r="B1045">
        <v>103</v>
      </c>
      <c r="C1045" t="s">
        <v>7328</v>
      </c>
      <c r="D1045" t="s">
        <v>11125</v>
      </c>
      <c r="E1045" t="s">
        <v>11199</v>
      </c>
      <c r="F1045" t="s">
        <v>11127</v>
      </c>
      <c r="G1045" t="s">
        <v>11200</v>
      </c>
      <c r="H1045">
        <v>-4</v>
      </c>
      <c r="I1045">
        <v>-1.25</v>
      </c>
      <c r="J1045">
        <v>180</v>
      </c>
      <c r="L1045" t="s">
        <v>7330</v>
      </c>
      <c r="M1045" t="s">
        <v>7330</v>
      </c>
      <c r="N1045" s="501">
        <v>15082</v>
      </c>
      <c r="P1045">
        <v>30</v>
      </c>
      <c r="Q1045" s="501">
        <v>15052</v>
      </c>
      <c r="R1045" t="s">
        <v>7927</v>
      </c>
      <c r="S1045">
        <v>0</v>
      </c>
    </row>
    <row r="1046" spans="1:19">
      <c r="A1046" t="s">
        <v>9201</v>
      </c>
      <c r="B1046">
        <v>103</v>
      </c>
      <c r="C1046" t="s">
        <v>7328</v>
      </c>
      <c r="D1046" t="s">
        <v>11125</v>
      </c>
      <c r="E1046" t="s">
        <v>11201</v>
      </c>
      <c r="F1046" t="s">
        <v>11127</v>
      </c>
      <c r="G1046" t="s">
        <v>11202</v>
      </c>
      <c r="H1046">
        <v>-4</v>
      </c>
      <c r="I1046">
        <v>-1.75</v>
      </c>
      <c r="J1046">
        <v>180</v>
      </c>
      <c r="L1046" t="s">
        <v>7330</v>
      </c>
      <c r="M1046" t="s">
        <v>7330</v>
      </c>
      <c r="N1046" s="501">
        <v>7260</v>
      </c>
      <c r="P1046">
        <v>0</v>
      </c>
      <c r="Q1046" s="501">
        <v>7260</v>
      </c>
      <c r="R1046" t="s">
        <v>7927</v>
      </c>
      <c r="S1046">
        <v>0</v>
      </c>
    </row>
    <row r="1047" spans="1:19">
      <c r="A1047" t="s">
        <v>9201</v>
      </c>
      <c r="B1047">
        <v>103</v>
      </c>
      <c r="C1047" t="s">
        <v>7328</v>
      </c>
      <c r="D1047" t="s">
        <v>11125</v>
      </c>
      <c r="E1047" t="s">
        <v>11203</v>
      </c>
      <c r="F1047" t="s">
        <v>11127</v>
      </c>
      <c r="G1047" t="s">
        <v>11204</v>
      </c>
      <c r="H1047">
        <v>-4.25</v>
      </c>
      <c r="I1047">
        <v>-0.75</v>
      </c>
      <c r="J1047">
        <v>180</v>
      </c>
      <c r="L1047" t="s">
        <v>7330</v>
      </c>
      <c r="M1047" t="s">
        <v>7330</v>
      </c>
      <c r="N1047" s="501">
        <v>2104</v>
      </c>
      <c r="P1047">
        <v>0</v>
      </c>
      <c r="Q1047" s="501">
        <v>2104</v>
      </c>
      <c r="R1047" t="s">
        <v>7927</v>
      </c>
      <c r="S1047">
        <v>0</v>
      </c>
    </row>
    <row r="1048" spans="1:19">
      <c r="A1048" t="s">
        <v>9201</v>
      </c>
      <c r="B1048">
        <v>103</v>
      </c>
      <c r="C1048" t="s">
        <v>7328</v>
      </c>
      <c r="D1048" t="s">
        <v>11125</v>
      </c>
      <c r="E1048" t="s">
        <v>11205</v>
      </c>
      <c r="F1048" t="s">
        <v>11127</v>
      </c>
      <c r="G1048" t="s">
        <v>11206</v>
      </c>
      <c r="H1048">
        <v>-4.25</v>
      </c>
      <c r="I1048">
        <v>-1.25</v>
      </c>
      <c r="J1048">
        <v>180</v>
      </c>
      <c r="L1048" t="s">
        <v>7330</v>
      </c>
      <c r="M1048" t="s">
        <v>7330</v>
      </c>
      <c r="N1048" s="501">
        <v>19287</v>
      </c>
      <c r="P1048">
        <v>30</v>
      </c>
      <c r="Q1048" s="501">
        <v>19257</v>
      </c>
      <c r="R1048" t="s">
        <v>7927</v>
      </c>
      <c r="S1048">
        <v>0</v>
      </c>
    </row>
    <row r="1049" spans="1:19">
      <c r="A1049" t="s">
        <v>9201</v>
      </c>
      <c r="B1049">
        <v>103</v>
      </c>
      <c r="C1049" t="s">
        <v>7328</v>
      </c>
      <c r="D1049" t="s">
        <v>11125</v>
      </c>
      <c r="E1049" t="s">
        <v>11207</v>
      </c>
      <c r="F1049" t="s">
        <v>11127</v>
      </c>
      <c r="G1049" t="s">
        <v>11208</v>
      </c>
      <c r="H1049">
        <v>-4.25</v>
      </c>
      <c r="I1049">
        <v>-1.75</v>
      </c>
      <c r="J1049">
        <v>180</v>
      </c>
      <c r="L1049" t="s">
        <v>7330</v>
      </c>
      <c r="M1049" t="s">
        <v>7330</v>
      </c>
      <c r="N1049" s="501">
        <v>15804</v>
      </c>
      <c r="P1049">
        <v>0</v>
      </c>
      <c r="Q1049" s="501">
        <v>15804</v>
      </c>
      <c r="R1049" t="s">
        <v>7927</v>
      </c>
      <c r="S1049">
        <v>0</v>
      </c>
    </row>
    <row r="1050" spans="1:19">
      <c r="A1050" t="s">
        <v>9201</v>
      </c>
      <c r="B1050">
        <v>103</v>
      </c>
      <c r="C1050" t="s">
        <v>7328</v>
      </c>
      <c r="D1050" t="s">
        <v>11125</v>
      </c>
      <c r="E1050" t="s">
        <v>11209</v>
      </c>
      <c r="F1050" t="s">
        <v>11127</v>
      </c>
      <c r="G1050" t="s">
        <v>11210</v>
      </c>
      <c r="H1050">
        <v>-4.5</v>
      </c>
      <c r="I1050">
        <v>-0.75</v>
      </c>
      <c r="J1050">
        <v>180</v>
      </c>
      <c r="L1050" t="s">
        <v>7330</v>
      </c>
      <c r="M1050" t="s">
        <v>7330</v>
      </c>
      <c r="N1050" s="501">
        <v>3581</v>
      </c>
      <c r="P1050">
        <v>0</v>
      </c>
      <c r="Q1050" s="501">
        <v>3581</v>
      </c>
      <c r="R1050" t="s">
        <v>7927</v>
      </c>
      <c r="S1050">
        <v>0</v>
      </c>
    </row>
    <row r="1051" spans="1:19">
      <c r="A1051" t="s">
        <v>9201</v>
      </c>
      <c r="B1051">
        <v>103</v>
      </c>
      <c r="C1051" t="s">
        <v>7328</v>
      </c>
      <c r="D1051" t="s">
        <v>11125</v>
      </c>
      <c r="E1051" t="s">
        <v>11211</v>
      </c>
      <c r="F1051" t="s">
        <v>11127</v>
      </c>
      <c r="G1051" t="s">
        <v>11122</v>
      </c>
      <c r="H1051">
        <v>-4.5</v>
      </c>
      <c r="I1051">
        <v>-1.25</v>
      </c>
      <c r="J1051">
        <v>180</v>
      </c>
      <c r="L1051" t="s">
        <v>7330</v>
      </c>
      <c r="M1051" t="s">
        <v>7330</v>
      </c>
      <c r="N1051" s="501">
        <v>21987</v>
      </c>
      <c r="P1051">
        <v>30</v>
      </c>
      <c r="Q1051" s="501">
        <v>21957</v>
      </c>
      <c r="R1051" t="s">
        <v>7927</v>
      </c>
      <c r="S1051">
        <v>0</v>
      </c>
    </row>
    <row r="1052" spans="1:19">
      <c r="A1052" t="s">
        <v>9201</v>
      </c>
      <c r="B1052">
        <v>103</v>
      </c>
      <c r="C1052" t="s">
        <v>7328</v>
      </c>
      <c r="D1052" t="s">
        <v>11125</v>
      </c>
      <c r="E1052" t="s">
        <v>11212</v>
      </c>
      <c r="F1052" t="s">
        <v>11127</v>
      </c>
      <c r="G1052" t="s">
        <v>11213</v>
      </c>
      <c r="H1052">
        <v>-4.5</v>
      </c>
      <c r="I1052">
        <v>-1.75</v>
      </c>
      <c r="J1052">
        <v>180</v>
      </c>
      <c r="L1052" t="s">
        <v>7330</v>
      </c>
      <c r="M1052" t="s">
        <v>7330</v>
      </c>
      <c r="N1052" s="501">
        <v>24690</v>
      </c>
      <c r="P1052">
        <v>0</v>
      </c>
      <c r="Q1052" s="501">
        <v>24690</v>
      </c>
      <c r="R1052" t="s">
        <v>7927</v>
      </c>
      <c r="S1052">
        <v>0</v>
      </c>
    </row>
    <row r="1053" spans="1:19">
      <c r="A1053" t="s">
        <v>9201</v>
      </c>
      <c r="B1053">
        <v>103</v>
      </c>
      <c r="C1053" t="s">
        <v>7328</v>
      </c>
      <c r="D1053" t="s">
        <v>11125</v>
      </c>
      <c r="E1053" t="s">
        <v>11214</v>
      </c>
      <c r="F1053" t="s">
        <v>11127</v>
      </c>
      <c r="G1053" t="s">
        <v>11215</v>
      </c>
      <c r="H1053">
        <v>-4.75</v>
      </c>
      <c r="I1053">
        <v>-0.75</v>
      </c>
      <c r="J1053">
        <v>180</v>
      </c>
      <c r="L1053" t="s">
        <v>7330</v>
      </c>
      <c r="M1053" t="s">
        <v>7330</v>
      </c>
      <c r="N1053" s="501">
        <v>4725</v>
      </c>
      <c r="P1053">
        <v>0</v>
      </c>
      <c r="Q1053" s="501">
        <v>4725</v>
      </c>
      <c r="R1053" t="s">
        <v>7927</v>
      </c>
      <c r="S1053">
        <v>0</v>
      </c>
    </row>
    <row r="1054" spans="1:19">
      <c r="A1054" t="s">
        <v>9201</v>
      </c>
      <c r="B1054">
        <v>103</v>
      </c>
      <c r="C1054" t="s">
        <v>7328</v>
      </c>
      <c r="D1054" t="s">
        <v>11125</v>
      </c>
      <c r="E1054" t="s">
        <v>11216</v>
      </c>
      <c r="F1054" t="s">
        <v>11127</v>
      </c>
      <c r="G1054" t="s">
        <v>11217</v>
      </c>
      <c r="H1054">
        <v>-4.75</v>
      </c>
      <c r="I1054">
        <v>-1.25</v>
      </c>
      <c r="J1054">
        <v>180</v>
      </c>
      <c r="L1054" t="s">
        <v>7330</v>
      </c>
      <c r="M1054" t="s">
        <v>7330</v>
      </c>
      <c r="N1054" s="501">
        <v>16442</v>
      </c>
      <c r="P1054">
        <v>0</v>
      </c>
      <c r="Q1054" s="501">
        <v>16442</v>
      </c>
      <c r="R1054" t="s">
        <v>7927</v>
      </c>
      <c r="S1054">
        <v>0</v>
      </c>
    </row>
    <row r="1055" spans="1:19">
      <c r="A1055" t="s">
        <v>9201</v>
      </c>
      <c r="B1055">
        <v>103</v>
      </c>
      <c r="C1055" t="s">
        <v>7328</v>
      </c>
      <c r="D1055" t="s">
        <v>11125</v>
      </c>
      <c r="E1055" t="s">
        <v>11218</v>
      </c>
      <c r="F1055" t="s">
        <v>11127</v>
      </c>
      <c r="G1055" t="s">
        <v>11219</v>
      </c>
      <c r="H1055">
        <v>-4.75</v>
      </c>
      <c r="I1055">
        <v>-1.75</v>
      </c>
      <c r="J1055">
        <v>180</v>
      </c>
      <c r="L1055" t="s">
        <v>7330</v>
      </c>
      <c r="M1055" t="s">
        <v>7330</v>
      </c>
      <c r="N1055" s="501">
        <v>24908</v>
      </c>
      <c r="P1055">
        <v>0</v>
      </c>
      <c r="Q1055" s="501">
        <v>24908</v>
      </c>
      <c r="R1055" t="s">
        <v>7927</v>
      </c>
      <c r="S1055">
        <v>0</v>
      </c>
    </row>
    <row r="1056" spans="1:19">
      <c r="A1056" t="s">
        <v>9201</v>
      </c>
      <c r="B1056">
        <v>103</v>
      </c>
      <c r="C1056" t="s">
        <v>7328</v>
      </c>
      <c r="D1056" t="s">
        <v>11125</v>
      </c>
      <c r="E1056" t="s">
        <v>11220</v>
      </c>
      <c r="F1056" t="s">
        <v>11127</v>
      </c>
      <c r="G1056" t="s">
        <v>11221</v>
      </c>
      <c r="H1056">
        <v>-5</v>
      </c>
      <c r="I1056">
        <v>-0.75</v>
      </c>
      <c r="J1056">
        <v>180</v>
      </c>
      <c r="L1056" t="s">
        <v>7330</v>
      </c>
      <c r="M1056" t="s">
        <v>7330</v>
      </c>
      <c r="N1056" s="501">
        <v>3545</v>
      </c>
      <c r="P1056">
        <v>0</v>
      </c>
      <c r="Q1056" s="501">
        <v>3545</v>
      </c>
      <c r="R1056" t="s">
        <v>7927</v>
      </c>
      <c r="S1056">
        <v>0</v>
      </c>
    </row>
    <row r="1057" spans="1:19">
      <c r="A1057" t="s">
        <v>9201</v>
      </c>
      <c r="B1057">
        <v>103</v>
      </c>
      <c r="C1057" t="s">
        <v>7328</v>
      </c>
      <c r="D1057" t="s">
        <v>11125</v>
      </c>
      <c r="E1057" t="s">
        <v>11222</v>
      </c>
      <c r="F1057" t="s">
        <v>11127</v>
      </c>
      <c r="G1057" t="s">
        <v>11223</v>
      </c>
      <c r="H1057">
        <v>-5</v>
      </c>
      <c r="I1057">
        <v>-1.25</v>
      </c>
      <c r="J1057">
        <v>180</v>
      </c>
      <c r="L1057" t="s">
        <v>7330</v>
      </c>
      <c r="M1057" t="s">
        <v>7330</v>
      </c>
      <c r="N1057" s="501">
        <v>39976</v>
      </c>
      <c r="P1057">
        <v>0</v>
      </c>
      <c r="Q1057" s="501">
        <v>39976</v>
      </c>
      <c r="R1057" t="s">
        <v>7927</v>
      </c>
      <c r="S1057">
        <v>0</v>
      </c>
    </row>
    <row r="1058" spans="1:19">
      <c r="A1058" t="s">
        <v>9201</v>
      </c>
      <c r="B1058">
        <v>103</v>
      </c>
      <c r="C1058" t="s">
        <v>7328</v>
      </c>
      <c r="D1058" t="s">
        <v>11125</v>
      </c>
      <c r="E1058" t="s">
        <v>11224</v>
      </c>
      <c r="F1058" t="s">
        <v>11127</v>
      </c>
      <c r="G1058" t="s">
        <v>11225</v>
      </c>
      <c r="H1058">
        <v>-5</v>
      </c>
      <c r="I1058">
        <v>-1.75</v>
      </c>
      <c r="J1058">
        <v>180</v>
      </c>
      <c r="L1058" t="s">
        <v>7330</v>
      </c>
      <c r="M1058" t="s">
        <v>7330</v>
      </c>
      <c r="N1058" s="501">
        <v>19757</v>
      </c>
      <c r="P1058">
        <v>0</v>
      </c>
      <c r="Q1058" s="501">
        <v>19757</v>
      </c>
      <c r="R1058" t="s">
        <v>7927</v>
      </c>
      <c r="S1058">
        <v>0</v>
      </c>
    </row>
    <row r="1059" spans="1:19">
      <c r="A1059" t="s">
        <v>9201</v>
      </c>
      <c r="B1059">
        <v>103</v>
      </c>
      <c r="C1059" t="s">
        <v>7328</v>
      </c>
      <c r="D1059" t="s">
        <v>11125</v>
      </c>
      <c r="E1059" t="s">
        <v>11226</v>
      </c>
      <c r="F1059" t="s">
        <v>11127</v>
      </c>
      <c r="G1059" t="s">
        <v>11227</v>
      </c>
      <c r="H1059">
        <v>-5.5</v>
      </c>
      <c r="I1059">
        <v>-0.75</v>
      </c>
      <c r="J1059">
        <v>180</v>
      </c>
      <c r="L1059" t="s">
        <v>7330</v>
      </c>
      <c r="M1059" t="s">
        <v>7330</v>
      </c>
      <c r="N1059" s="501">
        <v>722</v>
      </c>
      <c r="P1059">
        <v>60</v>
      </c>
      <c r="Q1059" s="501">
        <v>662</v>
      </c>
      <c r="R1059" t="s">
        <v>7927</v>
      </c>
      <c r="S1059">
        <v>0</v>
      </c>
    </row>
    <row r="1060" spans="1:19">
      <c r="A1060" t="s">
        <v>9201</v>
      </c>
      <c r="B1060">
        <v>103</v>
      </c>
      <c r="C1060" t="s">
        <v>7328</v>
      </c>
      <c r="D1060" t="s">
        <v>11125</v>
      </c>
      <c r="E1060" t="s">
        <v>11228</v>
      </c>
      <c r="F1060" t="s">
        <v>11127</v>
      </c>
      <c r="G1060" t="s">
        <v>11229</v>
      </c>
      <c r="H1060">
        <v>-5.5</v>
      </c>
      <c r="I1060">
        <v>-1.25</v>
      </c>
      <c r="J1060">
        <v>180</v>
      </c>
      <c r="L1060" t="s">
        <v>7330</v>
      </c>
      <c r="M1060" t="s">
        <v>7330</v>
      </c>
      <c r="N1060" s="501">
        <v>18590</v>
      </c>
      <c r="P1060">
        <v>0</v>
      </c>
      <c r="Q1060" s="501">
        <v>18590</v>
      </c>
      <c r="R1060" t="s">
        <v>7927</v>
      </c>
      <c r="S1060">
        <v>0</v>
      </c>
    </row>
    <row r="1061" spans="1:19">
      <c r="A1061" t="s">
        <v>9201</v>
      </c>
      <c r="B1061">
        <v>103</v>
      </c>
      <c r="C1061" t="s">
        <v>7328</v>
      </c>
      <c r="D1061" t="s">
        <v>11125</v>
      </c>
      <c r="E1061" t="s">
        <v>11230</v>
      </c>
      <c r="F1061" t="s">
        <v>11127</v>
      </c>
      <c r="G1061" t="s">
        <v>11231</v>
      </c>
      <c r="H1061">
        <v>-5.5</v>
      </c>
      <c r="I1061">
        <v>-1.75</v>
      </c>
      <c r="J1061">
        <v>180</v>
      </c>
      <c r="L1061" t="s">
        <v>7330</v>
      </c>
      <c r="M1061" t="s">
        <v>7330</v>
      </c>
      <c r="N1061" s="501">
        <v>17148</v>
      </c>
      <c r="P1061">
        <v>0</v>
      </c>
      <c r="Q1061" s="501">
        <v>17148</v>
      </c>
      <c r="R1061" t="s">
        <v>7927</v>
      </c>
      <c r="S1061">
        <v>0</v>
      </c>
    </row>
    <row r="1062" spans="1:19">
      <c r="A1062" t="s">
        <v>9201</v>
      </c>
      <c r="B1062">
        <v>103</v>
      </c>
      <c r="C1062" t="s">
        <v>7328</v>
      </c>
      <c r="D1062" t="s">
        <v>11125</v>
      </c>
      <c r="E1062" t="s">
        <v>11232</v>
      </c>
      <c r="F1062" t="s">
        <v>11127</v>
      </c>
      <c r="G1062" t="s">
        <v>11233</v>
      </c>
      <c r="H1062">
        <v>-6</v>
      </c>
      <c r="I1062">
        <v>-0.75</v>
      </c>
      <c r="J1062">
        <v>180</v>
      </c>
      <c r="L1062" t="s">
        <v>7330</v>
      </c>
      <c r="M1062" t="s">
        <v>7330</v>
      </c>
      <c r="N1062" s="501">
        <v>8776</v>
      </c>
      <c r="P1062">
        <v>0</v>
      </c>
      <c r="Q1062" s="501">
        <v>8776</v>
      </c>
      <c r="R1062" t="s">
        <v>7927</v>
      </c>
      <c r="S1062">
        <v>0</v>
      </c>
    </row>
    <row r="1063" spans="1:19">
      <c r="A1063" t="s">
        <v>9201</v>
      </c>
      <c r="B1063">
        <v>103</v>
      </c>
      <c r="C1063" t="s">
        <v>7328</v>
      </c>
      <c r="D1063" t="s">
        <v>11125</v>
      </c>
      <c r="E1063" t="s">
        <v>11234</v>
      </c>
      <c r="F1063" t="s">
        <v>11127</v>
      </c>
      <c r="G1063" t="s">
        <v>11235</v>
      </c>
      <c r="H1063">
        <v>-6</v>
      </c>
      <c r="I1063">
        <v>-1.25</v>
      </c>
      <c r="J1063">
        <v>180</v>
      </c>
      <c r="L1063" t="s">
        <v>7330</v>
      </c>
      <c r="M1063" t="s">
        <v>7330</v>
      </c>
      <c r="N1063" s="501">
        <v>14382</v>
      </c>
      <c r="P1063">
        <v>0</v>
      </c>
      <c r="Q1063" s="501">
        <v>14382</v>
      </c>
      <c r="R1063" t="s">
        <v>7927</v>
      </c>
      <c r="S1063">
        <v>0</v>
      </c>
    </row>
    <row r="1064" spans="1:19">
      <c r="A1064" t="s">
        <v>9201</v>
      </c>
      <c r="B1064">
        <v>103</v>
      </c>
      <c r="C1064" t="s">
        <v>7328</v>
      </c>
      <c r="D1064" t="s">
        <v>11125</v>
      </c>
      <c r="E1064" t="s">
        <v>11236</v>
      </c>
      <c r="F1064" t="s">
        <v>11127</v>
      </c>
      <c r="G1064" t="s">
        <v>11237</v>
      </c>
      <c r="H1064">
        <v>-6</v>
      </c>
      <c r="I1064">
        <v>-1.75</v>
      </c>
      <c r="J1064">
        <v>180</v>
      </c>
      <c r="L1064" t="s">
        <v>7330</v>
      </c>
      <c r="M1064" t="s">
        <v>7330</v>
      </c>
      <c r="N1064" s="501">
        <v>13690</v>
      </c>
      <c r="P1064">
        <v>0</v>
      </c>
      <c r="Q1064" s="501">
        <v>13690</v>
      </c>
      <c r="R1064" t="s">
        <v>7927</v>
      </c>
      <c r="S1064">
        <v>0</v>
      </c>
    </row>
    <row r="1065" spans="1:19">
      <c r="A1065" t="s">
        <v>9201</v>
      </c>
      <c r="B1065">
        <v>103</v>
      </c>
      <c r="C1065" t="s">
        <v>7328</v>
      </c>
      <c r="D1065" t="s">
        <v>11125</v>
      </c>
      <c r="E1065" t="s">
        <v>11238</v>
      </c>
      <c r="F1065" t="s">
        <v>11127</v>
      </c>
      <c r="G1065" t="s">
        <v>11239</v>
      </c>
      <c r="H1065">
        <v>-6.5</v>
      </c>
      <c r="I1065">
        <v>-0.75</v>
      </c>
      <c r="J1065">
        <v>180</v>
      </c>
      <c r="L1065" t="s">
        <v>7330</v>
      </c>
      <c r="M1065" t="s">
        <v>7330</v>
      </c>
      <c r="N1065" s="501">
        <v>4435</v>
      </c>
      <c r="P1065">
        <v>0</v>
      </c>
      <c r="Q1065" s="501">
        <v>4435</v>
      </c>
      <c r="R1065" t="s">
        <v>7927</v>
      </c>
      <c r="S1065">
        <v>0</v>
      </c>
    </row>
    <row r="1066" spans="1:19">
      <c r="A1066" t="s">
        <v>9201</v>
      </c>
      <c r="B1066">
        <v>103</v>
      </c>
      <c r="C1066" t="s">
        <v>7328</v>
      </c>
      <c r="D1066" t="s">
        <v>11125</v>
      </c>
      <c r="E1066" t="s">
        <v>11240</v>
      </c>
      <c r="F1066" t="s">
        <v>11127</v>
      </c>
      <c r="G1066" t="s">
        <v>11241</v>
      </c>
      <c r="H1066">
        <v>-6.5</v>
      </c>
      <c r="I1066">
        <v>-1.25</v>
      </c>
      <c r="J1066">
        <v>180</v>
      </c>
      <c r="L1066" t="s">
        <v>7330</v>
      </c>
      <c r="M1066" t="s">
        <v>7330</v>
      </c>
      <c r="N1066" s="501">
        <v>11201</v>
      </c>
      <c r="P1066">
        <v>0</v>
      </c>
      <c r="Q1066" s="501">
        <v>11201</v>
      </c>
      <c r="R1066" t="s">
        <v>7927</v>
      </c>
      <c r="S1066">
        <v>0</v>
      </c>
    </row>
    <row r="1067" spans="1:19">
      <c r="A1067" t="s">
        <v>9201</v>
      </c>
      <c r="B1067">
        <v>103</v>
      </c>
      <c r="C1067" t="s">
        <v>7328</v>
      </c>
      <c r="D1067" t="s">
        <v>11125</v>
      </c>
      <c r="E1067" t="s">
        <v>11242</v>
      </c>
      <c r="F1067" t="s">
        <v>11127</v>
      </c>
      <c r="G1067" t="s">
        <v>11243</v>
      </c>
      <c r="H1067">
        <v>-6.5</v>
      </c>
      <c r="I1067">
        <v>-1.75</v>
      </c>
      <c r="J1067">
        <v>180</v>
      </c>
      <c r="L1067" t="s">
        <v>7330</v>
      </c>
      <c r="M1067" t="s">
        <v>7330</v>
      </c>
      <c r="N1067" s="501">
        <v>10573</v>
      </c>
      <c r="P1067">
        <v>0</v>
      </c>
      <c r="Q1067" s="501">
        <v>10573</v>
      </c>
      <c r="R1067" t="s">
        <v>7927</v>
      </c>
      <c r="S1067">
        <v>0</v>
      </c>
    </row>
    <row r="1068" spans="1:19">
      <c r="A1068" t="s">
        <v>9201</v>
      </c>
      <c r="B1068">
        <v>103</v>
      </c>
      <c r="C1068" t="s">
        <v>7328</v>
      </c>
      <c r="D1068" t="s">
        <v>11125</v>
      </c>
      <c r="E1068" t="s">
        <v>11244</v>
      </c>
      <c r="F1068" t="s">
        <v>11127</v>
      </c>
      <c r="G1068" t="s">
        <v>11245</v>
      </c>
      <c r="H1068">
        <v>-7</v>
      </c>
      <c r="I1068">
        <v>-0.75</v>
      </c>
      <c r="J1068">
        <v>180</v>
      </c>
      <c r="L1068" t="s">
        <v>7330</v>
      </c>
      <c r="M1068" t="s">
        <v>7330</v>
      </c>
      <c r="N1068" s="501">
        <v>7074</v>
      </c>
      <c r="P1068">
        <v>0</v>
      </c>
      <c r="Q1068" s="501">
        <v>7074</v>
      </c>
      <c r="R1068" t="s">
        <v>7927</v>
      </c>
      <c r="S1068">
        <v>0</v>
      </c>
    </row>
    <row r="1069" spans="1:19">
      <c r="A1069" t="s">
        <v>9201</v>
      </c>
      <c r="B1069">
        <v>103</v>
      </c>
      <c r="C1069" t="s">
        <v>7328</v>
      </c>
      <c r="D1069" t="s">
        <v>11125</v>
      </c>
      <c r="E1069" t="s">
        <v>11246</v>
      </c>
      <c r="F1069" t="s">
        <v>11127</v>
      </c>
      <c r="G1069" t="s">
        <v>11247</v>
      </c>
      <c r="H1069">
        <v>-7</v>
      </c>
      <c r="I1069">
        <v>-1.25</v>
      </c>
      <c r="J1069">
        <v>180</v>
      </c>
      <c r="L1069" t="s">
        <v>7330</v>
      </c>
      <c r="M1069" t="s">
        <v>7330</v>
      </c>
      <c r="N1069" s="501">
        <v>15274</v>
      </c>
      <c r="P1069">
        <v>0</v>
      </c>
      <c r="Q1069" s="501">
        <v>15274</v>
      </c>
      <c r="R1069" t="s">
        <v>7927</v>
      </c>
      <c r="S1069">
        <v>0</v>
      </c>
    </row>
    <row r="1070" spans="1:19">
      <c r="A1070" t="s">
        <v>9201</v>
      </c>
      <c r="B1070">
        <v>103</v>
      </c>
      <c r="C1070" t="s">
        <v>7328</v>
      </c>
      <c r="D1070" t="s">
        <v>11125</v>
      </c>
      <c r="E1070" t="s">
        <v>11248</v>
      </c>
      <c r="F1070" t="s">
        <v>11127</v>
      </c>
      <c r="G1070" t="s">
        <v>11249</v>
      </c>
      <c r="H1070">
        <v>-7</v>
      </c>
      <c r="I1070">
        <v>-1.75</v>
      </c>
      <c r="J1070">
        <v>180</v>
      </c>
      <c r="L1070" t="s">
        <v>7330</v>
      </c>
      <c r="M1070" t="s">
        <v>7330</v>
      </c>
      <c r="N1070" s="501">
        <v>17210</v>
      </c>
      <c r="P1070">
        <v>0</v>
      </c>
      <c r="Q1070" s="501">
        <v>17210</v>
      </c>
      <c r="R1070" t="s">
        <v>7927</v>
      </c>
      <c r="S1070">
        <v>0</v>
      </c>
    </row>
    <row r="1071" spans="1:19">
      <c r="A1071" t="s">
        <v>9201</v>
      </c>
      <c r="B1071">
        <v>103</v>
      </c>
      <c r="C1071" t="s">
        <v>7328</v>
      </c>
      <c r="D1071" t="s">
        <v>11125</v>
      </c>
      <c r="E1071" t="s">
        <v>11250</v>
      </c>
      <c r="F1071" t="s">
        <v>11127</v>
      </c>
      <c r="G1071" t="s">
        <v>11251</v>
      </c>
      <c r="H1071">
        <v>-7.5</v>
      </c>
      <c r="I1071">
        <v>-0.75</v>
      </c>
      <c r="J1071">
        <v>180</v>
      </c>
      <c r="L1071" t="s">
        <v>7330</v>
      </c>
      <c r="M1071" t="s">
        <v>7330</v>
      </c>
      <c r="N1071" s="501">
        <v>662</v>
      </c>
      <c r="P1071">
        <v>0</v>
      </c>
      <c r="Q1071" s="501">
        <v>662</v>
      </c>
      <c r="R1071" t="s">
        <v>7927</v>
      </c>
      <c r="S1071">
        <v>0</v>
      </c>
    </row>
    <row r="1072" spans="1:19">
      <c r="A1072" t="s">
        <v>9201</v>
      </c>
      <c r="B1072">
        <v>103</v>
      </c>
      <c r="C1072" t="s">
        <v>7328</v>
      </c>
      <c r="D1072" t="s">
        <v>11125</v>
      </c>
      <c r="E1072" t="s">
        <v>11252</v>
      </c>
      <c r="F1072" t="s">
        <v>11127</v>
      </c>
      <c r="G1072" t="s">
        <v>11253</v>
      </c>
      <c r="H1072">
        <v>-7.5</v>
      </c>
      <c r="I1072">
        <v>-1.25</v>
      </c>
      <c r="J1072">
        <v>180</v>
      </c>
      <c r="L1072" t="s">
        <v>7330</v>
      </c>
      <c r="M1072" t="s">
        <v>7330</v>
      </c>
      <c r="N1072" s="501">
        <v>3449</v>
      </c>
      <c r="P1072">
        <v>0</v>
      </c>
      <c r="Q1072" s="501">
        <v>3449</v>
      </c>
      <c r="R1072" t="s">
        <v>7927</v>
      </c>
      <c r="S1072">
        <v>0</v>
      </c>
    </row>
    <row r="1073" spans="1:19">
      <c r="A1073" t="s">
        <v>9201</v>
      </c>
      <c r="B1073">
        <v>103</v>
      </c>
      <c r="C1073" t="s">
        <v>7328</v>
      </c>
      <c r="D1073" t="s">
        <v>11125</v>
      </c>
      <c r="E1073" t="s">
        <v>11254</v>
      </c>
      <c r="F1073" t="s">
        <v>11127</v>
      </c>
      <c r="G1073" t="s">
        <v>11255</v>
      </c>
      <c r="H1073">
        <v>-8</v>
      </c>
      <c r="I1073">
        <v>-0.75</v>
      </c>
      <c r="J1073">
        <v>180</v>
      </c>
      <c r="L1073" t="s">
        <v>7330</v>
      </c>
      <c r="M1073" t="s">
        <v>7330</v>
      </c>
      <c r="N1073" s="501">
        <v>510</v>
      </c>
      <c r="P1073">
        <v>0</v>
      </c>
      <c r="Q1073" s="501">
        <v>510</v>
      </c>
      <c r="R1073" t="s">
        <v>7927</v>
      </c>
      <c r="S1073">
        <v>0</v>
      </c>
    </row>
    <row r="1074" spans="1:19">
      <c r="A1074" t="s">
        <v>9201</v>
      </c>
      <c r="B1074">
        <v>103</v>
      </c>
      <c r="C1074" t="s">
        <v>7328</v>
      </c>
      <c r="D1074" t="s">
        <v>11125</v>
      </c>
      <c r="E1074" t="s">
        <v>11256</v>
      </c>
      <c r="F1074" t="s">
        <v>11127</v>
      </c>
      <c r="G1074" t="s">
        <v>11257</v>
      </c>
      <c r="H1074">
        <v>-8</v>
      </c>
      <c r="I1074">
        <v>-1.25</v>
      </c>
      <c r="J1074">
        <v>180</v>
      </c>
      <c r="L1074" t="s">
        <v>7330</v>
      </c>
      <c r="M1074" t="s">
        <v>7330</v>
      </c>
      <c r="N1074" s="501">
        <v>2692</v>
      </c>
      <c r="P1074">
        <v>0</v>
      </c>
      <c r="Q1074" s="501">
        <v>2692</v>
      </c>
      <c r="R1074" t="s">
        <v>7927</v>
      </c>
      <c r="S1074">
        <v>0</v>
      </c>
    </row>
    <row r="1075" spans="1:19">
      <c r="A1075" t="s">
        <v>9201</v>
      </c>
      <c r="B1075">
        <v>103</v>
      </c>
      <c r="C1075" t="s">
        <v>7328</v>
      </c>
      <c r="D1075" t="s">
        <v>11125</v>
      </c>
      <c r="E1075" t="s">
        <v>11258</v>
      </c>
      <c r="F1075" t="s">
        <v>11127</v>
      </c>
      <c r="G1075" t="s">
        <v>11259</v>
      </c>
      <c r="H1075">
        <v>-8.5</v>
      </c>
      <c r="I1075">
        <v>-0.75</v>
      </c>
      <c r="J1075">
        <v>180</v>
      </c>
      <c r="L1075" t="s">
        <v>7330</v>
      </c>
      <c r="M1075" t="s">
        <v>7330</v>
      </c>
      <c r="N1075" s="501">
        <v>592</v>
      </c>
      <c r="P1075">
        <v>0</v>
      </c>
      <c r="Q1075" s="501">
        <v>592</v>
      </c>
      <c r="R1075" t="s">
        <v>7927</v>
      </c>
      <c r="S1075">
        <v>0</v>
      </c>
    </row>
    <row r="1076" spans="1:19">
      <c r="A1076" t="s">
        <v>9201</v>
      </c>
      <c r="B1076">
        <v>103</v>
      </c>
      <c r="C1076" t="s">
        <v>7328</v>
      </c>
      <c r="D1076" t="s">
        <v>11125</v>
      </c>
      <c r="E1076" t="s">
        <v>11260</v>
      </c>
      <c r="F1076" t="s">
        <v>11127</v>
      </c>
      <c r="G1076" t="s">
        <v>11261</v>
      </c>
      <c r="H1076">
        <v>-8.5</v>
      </c>
      <c r="I1076">
        <v>-1.25</v>
      </c>
      <c r="J1076">
        <v>180</v>
      </c>
      <c r="L1076" t="s">
        <v>7330</v>
      </c>
      <c r="M1076" t="s">
        <v>7330</v>
      </c>
      <c r="N1076" s="501">
        <v>2086</v>
      </c>
      <c r="P1076">
        <v>0</v>
      </c>
      <c r="Q1076" s="501">
        <v>2086</v>
      </c>
      <c r="R1076" t="s">
        <v>7927</v>
      </c>
      <c r="S1076">
        <v>0</v>
      </c>
    </row>
    <row r="1077" spans="1:19">
      <c r="A1077" t="s">
        <v>9201</v>
      </c>
      <c r="B1077">
        <v>103</v>
      </c>
      <c r="C1077" t="s">
        <v>7328</v>
      </c>
      <c r="D1077" t="s">
        <v>11125</v>
      </c>
      <c r="E1077" t="s">
        <v>11262</v>
      </c>
      <c r="F1077" t="s">
        <v>11127</v>
      </c>
      <c r="G1077" t="s">
        <v>11263</v>
      </c>
      <c r="H1077">
        <v>-9</v>
      </c>
      <c r="I1077">
        <v>-1.25</v>
      </c>
      <c r="J1077">
        <v>180</v>
      </c>
      <c r="L1077" t="s">
        <v>7330</v>
      </c>
      <c r="M1077" t="s">
        <v>7330</v>
      </c>
      <c r="N1077" s="501">
        <v>1032</v>
      </c>
      <c r="P1077">
        <v>0</v>
      </c>
      <c r="Q1077" s="501">
        <v>1032</v>
      </c>
      <c r="R1077" t="s">
        <v>7927</v>
      </c>
      <c r="S1077">
        <v>0</v>
      </c>
    </row>
    <row r="1078" spans="1:19">
      <c r="A1078" t="s">
        <v>9201</v>
      </c>
      <c r="B1078">
        <v>103</v>
      </c>
      <c r="C1078" t="s">
        <v>7328</v>
      </c>
      <c r="D1078" t="s">
        <v>11264</v>
      </c>
      <c r="E1078" t="s">
        <v>11265</v>
      </c>
      <c r="F1078" t="s">
        <v>11266</v>
      </c>
      <c r="G1078" t="s">
        <v>11267</v>
      </c>
      <c r="H1078">
        <v>3.75</v>
      </c>
      <c r="L1078" t="s">
        <v>7330</v>
      </c>
      <c r="M1078" t="s">
        <v>7330</v>
      </c>
      <c r="N1078" s="501">
        <v>25</v>
      </c>
      <c r="P1078">
        <v>0</v>
      </c>
      <c r="Q1078" s="501">
        <v>25</v>
      </c>
      <c r="R1078" t="s">
        <v>9818</v>
      </c>
      <c r="S1078">
        <v>0</v>
      </c>
    </row>
    <row r="1079" spans="1:19">
      <c r="A1079" t="s">
        <v>9201</v>
      </c>
      <c r="B1079">
        <v>103</v>
      </c>
      <c r="C1079" t="s">
        <v>7328</v>
      </c>
      <c r="D1079" t="s">
        <v>11264</v>
      </c>
      <c r="E1079" t="s">
        <v>11268</v>
      </c>
      <c r="F1079" t="s">
        <v>11266</v>
      </c>
      <c r="G1079" t="s">
        <v>11269</v>
      </c>
      <c r="H1079">
        <v>5.25</v>
      </c>
      <c r="L1079" t="s">
        <v>7330</v>
      </c>
      <c r="M1079" t="s">
        <v>7330</v>
      </c>
      <c r="N1079" s="501">
        <v>10</v>
      </c>
      <c r="P1079">
        <v>0</v>
      </c>
      <c r="Q1079" s="501">
        <v>10</v>
      </c>
      <c r="R1079" t="s">
        <v>9818</v>
      </c>
      <c r="S1079">
        <v>0</v>
      </c>
    </row>
    <row r="1080" spans="1:19">
      <c r="A1080" t="s">
        <v>9201</v>
      </c>
      <c r="B1080">
        <v>103</v>
      </c>
      <c r="C1080" t="s">
        <v>7328</v>
      </c>
      <c r="D1080" t="s">
        <v>11264</v>
      </c>
      <c r="E1080" t="s">
        <v>11270</v>
      </c>
      <c r="F1080" t="s">
        <v>11266</v>
      </c>
      <c r="G1080" t="s">
        <v>11271</v>
      </c>
      <c r="H1080">
        <v>5.25</v>
      </c>
      <c r="L1080" t="s">
        <v>7330</v>
      </c>
      <c r="M1080" t="s">
        <v>7330</v>
      </c>
      <c r="N1080" s="501">
        <v>5</v>
      </c>
      <c r="P1080">
        <v>0</v>
      </c>
      <c r="Q1080" s="501">
        <v>5</v>
      </c>
      <c r="R1080" t="s">
        <v>9818</v>
      </c>
      <c r="S1080">
        <v>0</v>
      </c>
    </row>
    <row r="1081" spans="1:19">
      <c r="A1081" t="s">
        <v>9201</v>
      </c>
      <c r="B1081">
        <v>103</v>
      </c>
      <c r="C1081" t="s">
        <v>7328</v>
      </c>
      <c r="D1081" t="s">
        <v>11264</v>
      </c>
      <c r="E1081" t="s">
        <v>11272</v>
      </c>
      <c r="F1081" t="s">
        <v>11266</v>
      </c>
      <c r="G1081" t="s">
        <v>11273</v>
      </c>
      <c r="H1081">
        <v>6</v>
      </c>
      <c r="L1081" t="s">
        <v>7330</v>
      </c>
      <c r="M1081" t="s">
        <v>7330</v>
      </c>
      <c r="N1081" s="501">
        <v>10</v>
      </c>
      <c r="P1081">
        <v>0</v>
      </c>
      <c r="Q1081" s="501">
        <v>10</v>
      </c>
      <c r="R1081" t="s">
        <v>9818</v>
      </c>
      <c r="S1081">
        <v>0</v>
      </c>
    </row>
    <row r="1082" spans="1:19">
      <c r="A1082" t="s">
        <v>9201</v>
      </c>
      <c r="B1082">
        <v>103</v>
      </c>
      <c r="C1082" t="s">
        <v>7328</v>
      </c>
      <c r="D1082" t="s">
        <v>11264</v>
      </c>
      <c r="E1082" t="s">
        <v>11274</v>
      </c>
      <c r="F1082" t="s">
        <v>11266</v>
      </c>
      <c r="G1082" t="s">
        <v>11275</v>
      </c>
      <c r="H1082">
        <v>-0.5</v>
      </c>
      <c r="L1082" t="s">
        <v>7330</v>
      </c>
      <c r="M1082" t="s">
        <v>7330</v>
      </c>
      <c r="N1082" s="501">
        <v>5</v>
      </c>
      <c r="P1082">
        <v>0</v>
      </c>
      <c r="Q1082" s="501">
        <v>5</v>
      </c>
      <c r="R1082" t="s">
        <v>9818</v>
      </c>
      <c r="S1082">
        <v>0</v>
      </c>
    </row>
    <row r="1083" spans="1:19">
      <c r="A1083" t="s">
        <v>9201</v>
      </c>
      <c r="B1083">
        <v>103</v>
      </c>
      <c r="C1083" t="s">
        <v>7328</v>
      </c>
      <c r="D1083" t="s">
        <v>11264</v>
      </c>
      <c r="E1083" t="s">
        <v>11276</v>
      </c>
      <c r="F1083" t="s">
        <v>11266</v>
      </c>
      <c r="G1083" t="s">
        <v>11277</v>
      </c>
      <c r="H1083">
        <v>-6</v>
      </c>
      <c r="K1083" t="s">
        <v>9821</v>
      </c>
      <c r="L1083" t="s">
        <v>11278</v>
      </c>
      <c r="M1083" t="s">
        <v>11279</v>
      </c>
      <c r="N1083" s="501"/>
      <c r="O1083">
        <v>10</v>
      </c>
      <c r="P1083">
        <v>10</v>
      </c>
      <c r="Q1083" s="501"/>
      <c r="R1083" t="s">
        <v>9818</v>
      </c>
      <c r="S1083">
        <v>0</v>
      </c>
    </row>
    <row r="1084" spans="1:19">
      <c r="A1084" t="s">
        <v>9201</v>
      </c>
      <c r="B1084">
        <v>103</v>
      </c>
      <c r="C1084" t="s">
        <v>7328</v>
      </c>
      <c r="D1084" t="s">
        <v>11280</v>
      </c>
      <c r="E1084" t="s">
        <v>11281</v>
      </c>
      <c r="F1084" t="s">
        <v>11282</v>
      </c>
      <c r="G1084" t="s">
        <v>11283</v>
      </c>
      <c r="H1084">
        <v>0.75</v>
      </c>
      <c r="L1084" t="s">
        <v>7330</v>
      </c>
      <c r="M1084" t="s">
        <v>7330</v>
      </c>
      <c r="N1084" s="501">
        <v>25</v>
      </c>
      <c r="P1084">
        <v>0</v>
      </c>
      <c r="Q1084" s="501">
        <v>25</v>
      </c>
      <c r="R1084" t="s">
        <v>7332</v>
      </c>
      <c r="S1084">
        <v>0</v>
      </c>
    </row>
    <row r="1085" spans="1:19">
      <c r="A1085" t="s">
        <v>9201</v>
      </c>
      <c r="B1085">
        <v>103</v>
      </c>
      <c r="C1085" t="s">
        <v>7328</v>
      </c>
      <c r="D1085" t="s">
        <v>11280</v>
      </c>
      <c r="E1085" t="s">
        <v>11281</v>
      </c>
      <c r="F1085" t="s">
        <v>11282</v>
      </c>
      <c r="G1085" t="s">
        <v>11283</v>
      </c>
      <c r="H1085">
        <v>0.75</v>
      </c>
      <c r="K1085" t="s">
        <v>9815</v>
      </c>
      <c r="L1085" t="s">
        <v>11284</v>
      </c>
      <c r="M1085" t="s">
        <v>11285</v>
      </c>
      <c r="N1085" s="501"/>
      <c r="O1085">
        <v>10</v>
      </c>
      <c r="P1085">
        <v>10</v>
      </c>
      <c r="Q1085" s="501"/>
      <c r="R1085" t="s">
        <v>7332</v>
      </c>
      <c r="S1085">
        <v>0</v>
      </c>
    </row>
    <row r="1086" spans="1:19">
      <c r="A1086" t="s">
        <v>9201</v>
      </c>
      <c r="B1086">
        <v>103</v>
      </c>
      <c r="C1086" t="s">
        <v>7328</v>
      </c>
      <c r="D1086" t="s">
        <v>11280</v>
      </c>
      <c r="E1086" t="s">
        <v>11286</v>
      </c>
      <c r="F1086" t="s">
        <v>11282</v>
      </c>
      <c r="G1086" t="s">
        <v>11287</v>
      </c>
      <c r="H1086">
        <v>4.5</v>
      </c>
      <c r="K1086" t="s">
        <v>9821</v>
      </c>
      <c r="L1086" t="s">
        <v>11288</v>
      </c>
      <c r="M1086" t="s">
        <v>11289</v>
      </c>
      <c r="N1086" s="501"/>
      <c r="O1086">
        <v>10</v>
      </c>
      <c r="P1086">
        <v>10</v>
      </c>
      <c r="Q1086" s="501"/>
      <c r="R1086" t="s">
        <v>7332</v>
      </c>
      <c r="S1086">
        <v>0</v>
      </c>
    </row>
    <row r="1087" spans="1:19">
      <c r="A1087" t="s">
        <v>9201</v>
      </c>
      <c r="B1087">
        <v>103</v>
      </c>
      <c r="C1087" t="s">
        <v>7328</v>
      </c>
      <c r="D1087" t="s">
        <v>11280</v>
      </c>
      <c r="E1087" t="s">
        <v>11290</v>
      </c>
      <c r="F1087" t="s">
        <v>11282</v>
      </c>
      <c r="G1087" t="s">
        <v>9880</v>
      </c>
      <c r="H1087">
        <v>-2</v>
      </c>
      <c r="L1087" t="s">
        <v>7330</v>
      </c>
      <c r="M1087" t="s">
        <v>7330</v>
      </c>
      <c r="N1087" s="501">
        <v>35</v>
      </c>
      <c r="P1087">
        <v>0</v>
      </c>
      <c r="Q1087" s="501">
        <v>35</v>
      </c>
      <c r="R1087" t="s">
        <v>7332</v>
      </c>
      <c r="S1087">
        <v>0</v>
      </c>
    </row>
    <row r="1088" spans="1:19">
      <c r="A1088" t="s">
        <v>9201</v>
      </c>
      <c r="B1088">
        <v>103</v>
      </c>
      <c r="C1088" t="s">
        <v>7328</v>
      </c>
      <c r="D1088" t="s">
        <v>11280</v>
      </c>
      <c r="E1088" t="s">
        <v>11291</v>
      </c>
      <c r="F1088" t="s">
        <v>11282</v>
      </c>
      <c r="G1088" t="s">
        <v>9888</v>
      </c>
      <c r="H1088">
        <v>-2.5</v>
      </c>
      <c r="L1088" t="s">
        <v>7330</v>
      </c>
      <c r="M1088" t="s">
        <v>7330</v>
      </c>
      <c r="N1088" s="501">
        <v>5</v>
      </c>
      <c r="P1088">
        <v>0</v>
      </c>
      <c r="Q1088" s="501">
        <v>5</v>
      </c>
      <c r="R1088" t="s">
        <v>7332</v>
      </c>
      <c r="S1088">
        <v>0</v>
      </c>
    </row>
    <row r="1089" spans="1:19">
      <c r="A1089" t="s">
        <v>9201</v>
      </c>
      <c r="B1089">
        <v>103</v>
      </c>
      <c r="C1089" t="s">
        <v>7328</v>
      </c>
      <c r="D1089" t="s">
        <v>11280</v>
      </c>
      <c r="E1089" t="s">
        <v>11292</v>
      </c>
      <c r="F1089" t="s">
        <v>11282</v>
      </c>
      <c r="G1089" t="s">
        <v>9945</v>
      </c>
      <c r="H1089">
        <v>-8.5</v>
      </c>
      <c r="L1089" t="s">
        <v>7330</v>
      </c>
      <c r="M1089" t="s">
        <v>7330</v>
      </c>
      <c r="N1089" s="501">
        <v>5</v>
      </c>
      <c r="P1089">
        <v>0</v>
      </c>
      <c r="Q1089" s="501">
        <v>5</v>
      </c>
      <c r="R1089" t="s">
        <v>7332</v>
      </c>
      <c r="S1089">
        <v>0</v>
      </c>
    </row>
    <row r="1090" spans="1:19">
      <c r="A1090" t="s">
        <v>9201</v>
      </c>
      <c r="B1090">
        <v>103</v>
      </c>
      <c r="C1090" t="s">
        <v>7328</v>
      </c>
      <c r="D1090" t="s">
        <v>11293</v>
      </c>
      <c r="E1090" t="s">
        <v>11294</v>
      </c>
      <c r="F1090" t="s">
        <v>11295</v>
      </c>
      <c r="G1090" t="s">
        <v>9836</v>
      </c>
      <c r="H1090">
        <v>-0.5</v>
      </c>
      <c r="L1090" t="s">
        <v>7330</v>
      </c>
      <c r="M1090" t="s">
        <v>7330</v>
      </c>
      <c r="N1090" s="501">
        <v>6952</v>
      </c>
      <c r="P1090">
        <v>0</v>
      </c>
      <c r="Q1090" s="501">
        <v>6952</v>
      </c>
      <c r="R1090" t="s">
        <v>7332</v>
      </c>
      <c r="S1090">
        <v>0</v>
      </c>
    </row>
    <row r="1091" spans="1:19">
      <c r="A1091" t="s">
        <v>9201</v>
      </c>
      <c r="B1091">
        <v>103</v>
      </c>
      <c r="C1091" t="s">
        <v>7328</v>
      </c>
      <c r="D1091" t="s">
        <v>11293</v>
      </c>
      <c r="E1091" t="s">
        <v>11296</v>
      </c>
      <c r="F1091" t="s">
        <v>11295</v>
      </c>
      <c r="G1091" t="s">
        <v>9847</v>
      </c>
      <c r="H1091">
        <v>-0.75</v>
      </c>
      <c r="L1091" t="s">
        <v>7330</v>
      </c>
      <c r="M1091" t="s">
        <v>7330</v>
      </c>
      <c r="N1091" s="501">
        <v>6738</v>
      </c>
      <c r="P1091">
        <v>0</v>
      </c>
      <c r="Q1091" s="501">
        <v>6738</v>
      </c>
      <c r="R1091" t="s">
        <v>7332</v>
      </c>
      <c r="S1091">
        <v>0</v>
      </c>
    </row>
    <row r="1092" spans="1:19">
      <c r="A1092" t="s">
        <v>9201</v>
      </c>
      <c r="B1092">
        <v>103</v>
      </c>
      <c r="C1092" t="s">
        <v>7328</v>
      </c>
      <c r="D1092" t="s">
        <v>11293</v>
      </c>
      <c r="E1092" t="s">
        <v>11297</v>
      </c>
      <c r="F1092" t="s">
        <v>11295</v>
      </c>
      <c r="G1092" t="s">
        <v>9866</v>
      </c>
      <c r="H1092">
        <v>-1</v>
      </c>
      <c r="L1092" t="s">
        <v>7330</v>
      </c>
      <c r="M1092" t="s">
        <v>7330</v>
      </c>
      <c r="N1092" s="501">
        <v>6697</v>
      </c>
      <c r="P1092">
        <v>0</v>
      </c>
      <c r="Q1092" s="501">
        <v>6697</v>
      </c>
      <c r="R1092" t="s">
        <v>7332</v>
      </c>
      <c r="S1092">
        <v>0</v>
      </c>
    </row>
    <row r="1093" spans="1:19">
      <c r="A1093" t="s">
        <v>9201</v>
      </c>
      <c r="B1093">
        <v>103</v>
      </c>
      <c r="C1093" t="s">
        <v>7328</v>
      </c>
      <c r="D1093" t="s">
        <v>11293</v>
      </c>
      <c r="E1093" t="s">
        <v>11298</v>
      </c>
      <c r="F1093" t="s">
        <v>11295</v>
      </c>
      <c r="G1093" t="s">
        <v>9870</v>
      </c>
      <c r="H1093">
        <v>-1.25</v>
      </c>
      <c r="L1093" t="s">
        <v>7330</v>
      </c>
      <c r="M1093" t="s">
        <v>7330</v>
      </c>
      <c r="N1093" s="501">
        <v>9242</v>
      </c>
      <c r="P1093">
        <v>0</v>
      </c>
      <c r="Q1093" s="501">
        <v>9242</v>
      </c>
      <c r="R1093" t="s">
        <v>7332</v>
      </c>
      <c r="S1093">
        <v>0</v>
      </c>
    </row>
    <row r="1094" spans="1:19">
      <c r="A1094" t="s">
        <v>9201</v>
      </c>
      <c r="B1094">
        <v>103</v>
      </c>
      <c r="C1094" t="s">
        <v>7328</v>
      </c>
      <c r="D1094" t="s">
        <v>11293</v>
      </c>
      <c r="E1094" t="s">
        <v>11299</v>
      </c>
      <c r="F1094" t="s">
        <v>11295</v>
      </c>
      <c r="G1094" t="s">
        <v>9873</v>
      </c>
      <c r="H1094">
        <v>-1.5</v>
      </c>
      <c r="L1094" t="s">
        <v>7330</v>
      </c>
      <c r="M1094" t="s">
        <v>7330</v>
      </c>
      <c r="N1094" s="501">
        <v>13873</v>
      </c>
      <c r="P1094">
        <v>0</v>
      </c>
      <c r="Q1094" s="501">
        <v>13873</v>
      </c>
      <c r="R1094" t="s">
        <v>7332</v>
      </c>
      <c r="S1094">
        <v>0</v>
      </c>
    </row>
    <row r="1095" spans="1:19">
      <c r="A1095" t="s">
        <v>9201</v>
      </c>
      <c r="B1095">
        <v>103</v>
      </c>
      <c r="C1095" t="s">
        <v>7328</v>
      </c>
      <c r="D1095" t="s">
        <v>11293</v>
      </c>
      <c r="E1095" t="s">
        <v>11300</v>
      </c>
      <c r="F1095" t="s">
        <v>11295</v>
      </c>
      <c r="G1095" t="s">
        <v>9877</v>
      </c>
      <c r="H1095">
        <v>-1.75</v>
      </c>
      <c r="L1095" t="s">
        <v>7330</v>
      </c>
      <c r="M1095" t="s">
        <v>7330</v>
      </c>
      <c r="N1095" s="501">
        <v>15526</v>
      </c>
      <c r="P1095">
        <v>0</v>
      </c>
      <c r="Q1095" s="501">
        <v>15526</v>
      </c>
      <c r="R1095" t="s">
        <v>7332</v>
      </c>
      <c r="S1095">
        <v>0</v>
      </c>
    </row>
    <row r="1096" spans="1:19">
      <c r="A1096" t="s">
        <v>9201</v>
      </c>
      <c r="B1096">
        <v>103</v>
      </c>
      <c r="C1096" t="s">
        <v>7328</v>
      </c>
      <c r="D1096" t="s">
        <v>11293</v>
      </c>
      <c r="E1096" t="s">
        <v>11301</v>
      </c>
      <c r="F1096" t="s">
        <v>11295</v>
      </c>
      <c r="G1096" t="s">
        <v>9880</v>
      </c>
      <c r="H1096">
        <v>-2</v>
      </c>
      <c r="L1096" t="s">
        <v>7330</v>
      </c>
      <c r="M1096" t="s">
        <v>7330</v>
      </c>
      <c r="N1096" s="501">
        <v>12662</v>
      </c>
      <c r="P1096">
        <v>0</v>
      </c>
      <c r="Q1096" s="501">
        <v>12662</v>
      </c>
      <c r="R1096" t="s">
        <v>7332</v>
      </c>
      <c r="S1096">
        <v>0</v>
      </c>
    </row>
    <row r="1097" spans="1:19">
      <c r="A1097" t="s">
        <v>9201</v>
      </c>
      <c r="B1097">
        <v>103</v>
      </c>
      <c r="C1097" t="s">
        <v>7328</v>
      </c>
      <c r="D1097" t="s">
        <v>11293</v>
      </c>
      <c r="E1097" t="s">
        <v>11302</v>
      </c>
      <c r="F1097" t="s">
        <v>11295</v>
      </c>
      <c r="G1097" t="s">
        <v>9884</v>
      </c>
      <c r="H1097">
        <v>-2.25</v>
      </c>
      <c r="L1097" t="s">
        <v>7330</v>
      </c>
      <c r="M1097" t="s">
        <v>7330</v>
      </c>
      <c r="N1097" s="501">
        <v>9806</v>
      </c>
      <c r="P1097">
        <v>0</v>
      </c>
      <c r="Q1097" s="501">
        <v>9806</v>
      </c>
      <c r="R1097" t="s">
        <v>7332</v>
      </c>
      <c r="S1097">
        <v>0</v>
      </c>
    </row>
    <row r="1098" spans="1:19">
      <c r="A1098" t="s">
        <v>9201</v>
      </c>
      <c r="B1098">
        <v>103</v>
      </c>
      <c r="C1098" t="s">
        <v>7328</v>
      </c>
      <c r="D1098" t="s">
        <v>11293</v>
      </c>
      <c r="E1098" t="s">
        <v>11303</v>
      </c>
      <c r="F1098" t="s">
        <v>11295</v>
      </c>
      <c r="G1098" t="s">
        <v>9888</v>
      </c>
      <c r="H1098">
        <v>-2.5</v>
      </c>
      <c r="L1098" t="s">
        <v>7330</v>
      </c>
      <c r="M1098" t="s">
        <v>7330</v>
      </c>
      <c r="N1098" s="501">
        <v>14627</v>
      </c>
      <c r="O1098">
        <v>12</v>
      </c>
      <c r="P1098">
        <v>0</v>
      </c>
      <c r="Q1098" s="501">
        <v>14639</v>
      </c>
      <c r="R1098" t="s">
        <v>7332</v>
      </c>
      <c r="S1098">
        <v>0</v>
      </c>
    </row>
    <row r="1099" spans="1:19">
      <c r="A1099" t="s">
        <v>9201</v>
      </c>
      <c r="B1099">
        <v>103</v>
      </c>
      <c r="C1099" t="s">
        <v>7328</v>
      </c>
      <c r="D1099" t="s">
        <v>11293</v>
      </c>
      <c r="E1099" t="s">
        <v>11304</v>
      </c>
      <c r="F1099" t="s">
        <v>11295</v>
      </c>
      <c r="G1099" t="s">
        <v>9892</v>
      </c>
      <c r="H1099">
        <v>-2.75</v>
      </c>
      <c r="L1099" t="s">
        <v>7330</v>
      </c>
      <c r="M1099" t="s">
        <v>7330</v>
      </c>
      <c r="N1099" s="501">
        <v>9431</v>
      </c>
      <c r="P1099">
        <v>0</v>
      </c>
      <c r="Q1099" s="501">
        <v>9431</v>
      </c>
      <c r="R1099" t="s">
        <v>7332</v>
      </c>
      <c r="S1099">
        <v>0</v>
      </c>
    </row>
    <row r="1100" spans="1:19">
      <c r="A1100" t="s">
        <v>9201</v>
      </c>
      <c r="B1100">
        <v>103</v>
      </c>
      <c r="C1100" t="s">
        <v>7328</v>
      </c>
      <c r="D1100" t="s">
        <v>11293</v>
      </c>
      <c r="E1100" t="s">
        <v>11305</v>
      </c>
      <c r="F1100" t="s">
        <v>11295</v>
      </c>
      <c r="G1100" t="s">
        <v>9896</v>
      </c>
      <c r="H1100">
        <v>-3</v>
      </c>
      <c r="L1100" t="s">
        <v>7330</v>
      </c>
      <c r="M1100" t="s">
        <v>7330</v>
      </c>
      <c r="N1100" s="501">
        <v>7010</v>
      </c>
      <c r="P1100">
        <v>0</v>
      </c>
      <c r="Q1100" s="501">
        <v>7010</v>
      </c>
      <c r="R1100" t="s">
        <v>7332</v>
      </c>
      <c r="S1100">
        <v>0</v>
      </c>
    </row>
    <row r="1101" spans="1:19">
      <c r="A1101" t="s">
        <v>9201</v>
      </c>
      <c r="B1101">
        <v>103</v>
      </c>
      <c r="C1101" t="s">
        <v>7328</v>
      </c>
      <c r="D1101" t="s">
        <v>11293</v>
      </c>
      <c r="E1101" t="s">
        <v>11306</v>
      </c>
      <c r="F1101" t="s">
        <v>11295</v>
      </c>
      <c r="G1101" t="s">
        <v>9900</v>
      </c>
      <c r="H1101">
        <v>-3.25</v>
      </c>
      <c r="L1101" t="s">
        <v>7330</v>
      </c>
      <c r="M1101" t="s">
        <v>7330</v>
      </c>
      <c r="N1101" s="501">
        <v>11603</v>
      </c>
      <c r="O1101">
        <v>12</v>
      </c>
      <c r="P1101">
        <v>0</v>
      </c>
      <c r="Q1101" s="501">
        <v>11615</v>
      </c>
      <c r="R1101" t="s">
        <v>7332</v>
      </c>
      <c r="S1101">
        <v>0</v>
      </c>
    </row>
    <row r="1102" spans="1:19">
      <c r="A1102" t="s">
        <v>9201</v>
      </c>
      <c r="B1102">
        <v>103</v>
      </c>
      <c r="C1102" t="s">
        <v>7328</v>
      </c>
      <c r="D1102" t="s">
        <v>11293</v>
      </c>
      <c r="E1102" t="s">
        <v>11307</v>
      </c>
      <c r="F1102" t="s">
        <v>11295</v>
      </c>
      <c r="G1102" t="s">
        <v>9903</v>
      </c>
      <c r="H1102">
        <v>-3.5</v>
      </c>
      <c r="L1102" t="s">
        <v>7330</v>
      </c>
      <c r="M1102" t="s">
        <v>7330</v>
      </c>
      <c r="N1102" s="501">
        <v>16015</v>
      </c>
      <c r="P1102">
        <v>0</v>
      </c>
      <c r="Q1102" s="501">
        <v>16015</v>
      </c>
      <c r="R1102" t="s">
        <v>7332</v>
      </c>
      <c r="S1102">
        <v>0</v>
      </c>
    </row>
    <row r="1103" spans="1:19">
      <c r="A1103" t="s">
        <v>9201</v>
      </c>
      <c r="B1103">
        <v>103</v>
      </c>
      <c r="C1103" t="s">
        <v>7328</v>
      </c>
      <c r="D1103" t="s">
        <v>11293</v>
      </c>
      <c r="E1103" t="s">
        <v>11308</v>
      </c>
      <c r="F1103" t="s">
        <v>11295</v>
      </c>
      <c r="G1103" t="s">
        <v>9906</v>
      </c>
      <c r="H1103">
        <v>-3.75</v>
      </c>
      <c r="L1103" t="s">
        <v>7330</v>
      </c>
      <c r="M1103" t="s">
        <v>7330</v>
      </c>
      <c r="N1103" s="501">
        <v>10053</v>
      </c>
      <c r="P1103">
        <v>0</v>
      </c>
      <c r="Q1103" s="501">
        <v>10053</v>
      </c>
      <c r="R1103" t="s">
        <v>7332</v>
      </c>
      <c r="S1103">
        <v>0</v>
      </c>
    </row>
    <row r="1104" spans="1:19">
      <c r="A1104" t="s">
        <v>9201</v>
      </c>
      <c r="B1104">
        <v>103</v>
      </c>
      <c r="C1104" t="s">
        <v>7328</v>
      </c>
      <c r="D1104" t="s">
        <v>11293</v>
      </c>
      <c r="E1104" t="s">
        <v>11309</v>
      </c>
      <c r="F1104" t="s">
        <v>11295</v>
      </c>
      <c r="G1104" t="s">
        <v>9909</v>
      </c>
      <c r="H1104">
        <v>-4</v>
      </c>
      <c r="L1104" t="s">
        <v>7330</v>
      </c>
      <c r="M1104" t="s">
        <v>7330</v>
      </c>
      <c r="N1104" s="501">
        <v>9259</v>
      </c>
      <c r="P1104">
        <v>0</v>
      </c>
      <c r="Q1104" s="501">
        <v>9259</v>
      </c>
      <c r="R1104" t="s">
        <v>7332</v>
      </c>
      <c r="S1104">
        <v>0</v>
      </c>
    </row>
    <row r="1105" spans="1:19">
      <c r="A1105" t="s">
        <v>9201</v>
      </c>
      <c r="B1105">
        <v>103</v>
      </c>
      <c r="C1105" t="s">
        <v>7328</v>
      </c>
      <c r="D1105" t="s">
        <v>11293</v>
      </c>
      <c r="E1105" t="s">
        <v>11310</v>
      </c>
      <c r="F1105" t="s">
        <v>11295</v>
      </c>
      <c r="G1105" t="s">
        <v>9911</v>
      </c>
      <c r="H1105">
        <v>-4.25</v>
      </c>
      <c r="L1105" t="s">
        <v>7330</v>
      </c>
      <c r="M1105" t="s">
        <v>7330</v>
      </c>
      <c r="N1105" s="501">
        <v>11984</v>
      </c>
      <c r="P1105">
        <v>0</v>
      </c>
      <c r="Q1105" s="501">
        <v>11984</v>
      </c>
      <c r="R1105" t="s">
        <v>7332</v>
      </c>
      <c r="S1105">
        <v>0</v>
      </c>
    </row>
    <row r="1106" spans="1:19">
      <c r="A1106" t="s">
        <v>9201</v>
      </c>
      <c r="B1106">
        <v>103</v>
      </c>
      <c r="C1106" t="s">
        <v>7328</v>
      </c>
      <c r="D1106" t="s">
        <v>11293</v>
      </c>
      <c r="E1106" t="s">
        <v>11311</v>
      </c>
      <c r="F1106" t="s">
        <v>11295</v>
      </c>
      <c r="G1106" t="s">
        <v>9914</v>
      </c>
      <c r="H1106">
        <v>-4.5</v>
      </c>
      <c r="L1106" t="s">
        <v>7330</v>
      </c>
      <c r="M1106" t="s">
        <v>7330</v>
      </c>
      <c r="N1106" s="501">
        <v>14280</v>
      </c>
      <c r="P1106">
        <v>0</v>
      </c>
      <c r="Q1106" s="501">
        <v>14280</v>
      </c>
      <c r="R1106" t="s">
        <v>7332</v>
      </c>
      <c r="S1106">
        <v>0</v>
      </c>
    </row>
    <row r="1107" spans="1:19">
      <c r="A1107" t="s">
        <v>9201</v>
      </c>
      <c r="B1107">
        <v>103</v>
      </c>
      <c r="C1107" t="s">
        <v>7328</v>
      </c>
      <c r="D1107" t="s">
        <v>11293</v>
      </c>
      <c r="E1107" t="s">
        <v>11312</v>
      </c>
      <c r="F1107" t="s">
        <v>11295</v>
      </c>
      <c r="G1107" t="s">
        <v>9918</v>
      </c>
      <c r="H1107">
        <v>-4.75</v>
      </c>
      <c r="L1107" t="s">
        <v>7330</v>
      </c>
      <c r="M1107" t="s">
        <v>7330</v>
      </c>
      <c r="N1107" s="501">
        <v>5089</v>
      </c>
      <c r="P1107">
        <v>0</v>
      </c>
      <c r="Q1107" s="501">
        <v>5089</v>
      </c>
      <c r="R1107" t="s">
        <v>7332</v>
      </c>
      <c r="S1107">
        <v>0</v>
      </c>
    </row>
    <row r="1108" spans="1:19">
      <c r="A1108" t="s">
        <v>9201</v>
      </c>
      <c r="B1108">
        <v>103</v>
      </c>
      <c r="C1108" t="s">
        <v>7328</v>
      </c>
      <c r="D1108" t="s">
        <v>11293</v>
      </c>
      <c r="E1108" t="s">
        <v>11313</v>
      </c>
      <c r="F1108" t="s">
        <v>11295</v>
      </c>
      <c r="G1108" t="s">
        <v>9922</v>
      </c>
      <c r="H1108">
        <v>-5</v>
      </c>
      <c r="L1108" t="s">
        <v>7330</v>
      </c>
      <c r="M1108" t="s">
        <v>7330</v>
      </c>
      <c r="N1108" s="501">
        <v>4898</v>
      </c>
      <c r="P1108">
        <v>0</v>
      </c>
      <c r="Q1108" s="501">
        <v>4898</v>
      </c>
      <c r="R1108" t="s">
        <v>7332</v>
      </c>
      <c r="S1108">
        <v>0</v>
      </c>
    </row>
    <row r="1109" spans="1:19">
      <c r="A1109" t="s">
        <v>9201</v>
      </c>
      <c r="B1109">
        <v>103</v>
      </c>
      <c r="C1109" t="s">
        <v>7328</v>
      </c>
      <c r="D1109" t="s">
        <v>11293</v>
      </c>
      <c r="E1109" t="s">
        <v>11314</v>
      </c>
      <c r="F1109" t="s">
        <v>11295</v>
      </c>
      <c r="G1109" t="s">
        <v>9926</v>
      </c>
      <c r="H1109">
        <v>-5.5</v>
      </c>
      <c r="L1109" t="s">
        <v>7330</v>
      </c>
      <c r="M1109" t="s">
        <v>7330</v>
      </c>
      <c r="N1109" s="501">
        <v>3941</v>
      </c>
      <c r="P1109">
        <v>0</v>
      </c>
      <c r="Q1109" s="501">
        <v>3941</v>
      </c>
      <c r="R1109" t="s">
        <v>7332</v>
      </c>
      <c r="S1109">
        <v>0</v>
      </c>
    </row>
    <row r="1110" spans="1:19">
      <c r="A1110" t="s">
        <v>9201</v>
      </c>
      <c r="B1110">
        <v>103</v>
      </c>
      <c r="C1110" t="s">
        <v>7328</v>
      </c>
      <c r="D1110" t="s">
        <v>11293</v>
      </c>
      <c r="E1110" t="s">
        <v>11315</v>
      </c>
      <c r="F1110" t="s">
        <v>11295</v>
      </c>
      <c r="G1110" t="s">
        <v>9855</v>
      </c>
      <c r="H1110">
        <v>-6</v>
      </c>
      <c r="L1110" t="s">
        <v>7330</v>
      </c>
      <c r="M1110" t="s">
        <v>7330</v>
      </c>
      <c r="N1110" s="501">
        <v>2229</v>
      </c>
      <c r="P1110">
        <v>0</v>
      </c>
      <c r="Q1110" s="501">
        <v>2229</v>
      </c>
      <c r="R1110" t="s">
        <v>7332</v>
      </c>
      <c r="S1110">
        <v>0</v>
      </c>
    </row>
    <row r="1111" spans="1:19">
      <c r="A1111" t="s">
        <v>9201</v>
      </c>
      <c r="B1111">
        <v>103</v>
      </c>
      <c r="C1111" t="s">
        <v>7328</v>
      </c>
      <c r="D1111" t="s">
        <v>11293</v>
      </c>
      <c r="E1111" t="s">
        <v>11316</v>
      </c>
      <c r="F1111" t="s">
        <v>11295</v>
      </c>
      <c r="G1111" t="s">
        <v>9860</v>
      </c>
      <c r="H1111">
        <v>-6.5</v>
      </c>
      <c r="L1111" t="s">
        <v>7330</v>
      </c>
      <c r="M1111" t="s">
        <v>7330</v>
      </c>
      <c r="N1111">
        <v>679</v>
      </c>
      <c r="P1111">
        <v>0</v>
      </c>
      <c r="Q1111">
        <v>679</v>
      </c>
      <c r="R1111" t="s">
        <v>7332</v>
      </c>
      <c r="S1111">
        <v>0</v>
      </c>
    </row>
    <row r="1112" spans="1:19">
      <c r="A1112" t="s">
        <v>9201</v>
      </c>
      <c r="B1112">
        <v>103</v>
      </c>
      <c r="C1112" t="s">
        <v>7328</v>
      </c>
      <c r="D1112" t="s">
        <v>11293</v>
      </c>
      <c r="E1112" t="s">
        <v>11317</v>
      </c>
      <c r="F1112" t="s">
        <v>11295</v>
      </c>
      <c r="G1112" t="s">
        <v>9936</v>
      </c>
      <c r="H1112">
        <v>-7</v>
      </c>
      <c r="L1112" t="s">
        <v>7330</v>
      </c>
      <c r="M1112" t="s">
        <v>7330</v>
      </c>
      <c r="N1112" s="501">
        <v>176</v>
      </c>
      <c r="P1112">
        <v>0</v>
      </c>
      <c r="Q1112">
        <v>176</v>
      </c>
      <c r="R1112" t="s">
        <v>7332</v>
      </c>
      <c r="S1112">
        <v>0</v>
      </c>
    </row>
    <row r="1113" spans="1:19">
      <c r="A1113" t="s">
        <v>9201</v>
      </c>
      <c r="B1113">
        <v>103</v>
      </c>
      <c r="C1113" t="s">
        <v>7328</v>
      </c>
      <c r="D1113" t="s">
        <v>11293</v>
      </c>
      <c r="E1113" t="s">
        <v>11318</v>
      </c>
      <c r="F1113" t="s">
        <v>11295</v>
      </c>
      <c r="G1113" t="s">
        <v>9939</v>
      </c>
      <c r="H1113">
        <v>-7.5</v>
      </c>
      <c r="L1113" t="s">
        <v>7330</v>
      </c>
      <c r="M1113" t="s">
        <v>7330</v>
      </c>
      <c r="N1113">
        <v>944</v>
      </c>
      <c r="P1113">
        <v>30</v>
      </c>
      <c r="Q1113">
        <v>914</v>
      </c>
      <c r="R1113" t="s">
        <v>7332</v>
      </c>
      <c r="S1113">
        <v>0</v>
      </c>
    </row>
    <row r="1114" spans="1:19">
      <c r="A1114" t="s">
        <v>9201</v>
      </c>
      <c r="B1114">
        <v>103</v>
      </c>
      <c r="C1114" t="s">
        <v>7328</v>
      </c>
      <c r="D1114" t="s">
        <v>11293</v>
      </c>
      <c r="E1114" t="s">
        <v>11319</v>
      </c>
      <c r="F1114" t="s">
        <v>11295</v>
      </c>
      <c r="G1114" t="s">
        <v>9942</v>
      </c>
      <c r="H1114">
        <v>-8</v>
      </c>
      <c r="L1114" t="s">
        <v>7330</v>
      </c>
      <c r="M1114" t="s">
        <v>7330</v>
      </c>
      <c r="N1114" s="501">
        <v>3500</v>
      </c>
      <c r="P1114">
        <v>0</v>
      </c>
      <c r="Q1114" s="501">
        <v>3500</v>
      </c>
      <c r="R1114" t="s">
        <v>7332</v>
      </c>
      <c r="S1114">
        <v>0</v>
      </c>
    </row>
    <row r="1115" spans="1:19">
      <c r="A1115" t="s">
        <v>9201</v>
      </c>
      <c r="B1115">
        <v>103</v>
      </c>
      <c r="C1115" t="s">
        <v>7328</v>
      </c>
      <c r="D1115" t="s">
        <v>11293</v>
      </c>
      <c r="E1115" t="s">
        <v>11320</v>
      </c>
      <c r="F1115" t="s">
        <v>11295</v>
      </c>
      <c r="G1115" t="s">
        <v>9945</v>
      </c>
      <c r="H1115">
        <v>-8.5</v>
      </c>
      <c r="L1115" t="s">
        <v>7330</v>
      </c>
      <c r="M1115" t="s">
        <v>7330</v>
      </c>
      <c r="N1115" s="501">
        <v>1796</v>
      </c>
      <c r="O1115">
        <v>85</v>
      </c>
      <c r="P1115">
        <v>0</v>
      </c>
      <c r="Q1115" s="501">
        <v>1881</v>
      </c>
      <c r="R1115" t="s">
        <v>7332</v>
      </c>
      <c r="S1115">
        <v>0</v>
      </c>
    </row>
    <row r="1116" spans="1:19">
      <c r="A1116" t="s">
        <v>9201</v>
      </c>
      <c r="B1116">
        <v>103</v>
      </c>
      <c r="C1116" t="s">
        <v>7328</v>
      </c>
      <c r="D1116" t="s">
        <v>11293</v>
      </c>
      <c r="E1116" t="s">
        <v>11321</v>
      </c>
      <c r="F1116" t="s">
        <v>11295</v>
      </c>
      <c r="G1116" t="s">
        <v>9949</v>
      </c>
      <c r="H1116">
        <v>-9</v>
      </c>
      <c r="L1116" t="s">
        <v>7330</v>
      </c>
      <c r="M1116" t="s">
        <v>7330</v>
      </c>
      <c r="N1116" s="501">
        <v>1238</v>
      </c>
      <c r="P1116">
        <v>0</v>
      </c>
      <c r="Q1116" s="501">
        <v>1238</v>
      </c>
      <c r="R1116" t="s">
        <v>7332</v>
      </c>
      <c r="S1116">
        <v>0</v>
      </c>
    </row>
    <row r="1117" spans="1:19">
      <c r="A1117" t="s">
        <v>9201</v>
      </c>
      <c r="B1117">
        <v>103</v>
      </c>
      <c r="C1117" t="s">
        <v>7328</v>
      </c>
      <c r="D1117" t="s">
        <v>11293</v>
      </c>
      <c r="E1117" t="s">
        <v>11322</v>
      </c>
      <c r="F1117" t="s">
        <v>11295</v>
      </c>
      <c r="G1117" t="s">
        <v>10240</v>
      </c>
      <c r="H1117">
        <v>-9.5</v>
      </c>
      <c r="L1117" t="s">
        <v>7330</v>
      </c>
      <c r="M1117" t="s">
        <v>7330</v>
      </c>
      <c r="N1117">
        <v>475</v>
      </c>
      <c r="P1117">
        <v>0</v>
      </c>
      <c r="Q1117">
        <v>475</v>
      </c>
      <c r="R1117" t="s">
        <v>7332</v>
      </c>
      <c r="S1117">
        <v>0</v>
      </c>
    </row>
    <row r="1118" spans="1:19">
      <c r="A1118" t="s">
        <v>9201</v>
      </c>
      <c r="B1118">
        <v>103</v>
      </c>
      <c r="C1118" t="s">
        <v>7328</v>
      </c>
      <c r="D1118" t="s">
        <v>11293</v>
      </c>
      <c r="E1118" t="s">
        <v>11323</v>
      </c>
      <c r="F1118" t="s">
        <v>11295</v>
      </c>
      <c r="G1118" t="s">
        <v>10242</v>
      </c>
      <c r="H1118">
        <v>-10</v>
      </c>
      <c r="L1118" t="s">
        <v>7330</v>
      </c>
      <c r="M1118" t="s">
        <v>7330</v>
      </c>
      <c r="N1118">
        <v>290</v>
      </c>
      <c r="P1118">
        <v>0</v>
      </c>
      <c r="Q1118">
        <v>290</v>
      </c>
      <c r="R1118" t="s">
        <v>7332</v>
      </c>
      <c r="S1118">
        <v>0</v>
      </c>
    </row>
    <row r="1119" spans="1:19">
      <c r="A1119" t="s">
        <v>9201</v>
      </c>
      <c r="B1119">
        <v>103</v>
      </c>
      <c r="C1119" t="s">
        <v>7328</v>
      </c>
      <c r="D1119" t="s">
        <v>11293</v>
      </c>
      <c r="E1119" t="s">
        <v>11324</v>
      </c>
      <c r="F1119" t="s">
        <v>11295</v>
      </c>
      <c r="G1119" t="s">
        <v>10244</v>
      </c>
      <c r="H1119">
        <v>-10.5</v>
      </c>
      <c r="L1119" t="s">
        <v>7330</v>
      </c>
      <c r="M1119" t="s">
        <v>7330</v>
      </c>
      <c r="N1119" s="501">
        <v>2340</v>
      </c>
      <c r="P1119">
        <v>0</v>
      </c>
      <c r="Q1119" s="501">
        <v>2340</v>
      </c>
      <c r="R1119" t="s">
        <v>7332</v>
      </c>
      <c r="S1119">
        <v>0</v>
      </c>
    </row>
    <row r="1120" spans="1:19">
      <c r="A1120" t="s">
        <v>9201</v>
      </c>
      <c r="B1120">
        <v>103</v>
      </c>
      <c r="C1120" t="s">
        <v>7328</v>
      </c>
      <c r="D1120" t="s">
        <v>11293</v>
      </c>
      <c r="E1120" t="s">
        <v>11325</v>
      </c>
      <c r="F1120" t="s">
        <v>11295</v>
      </c>
      <c r="G1120" t="s">
        <v>10246</v>
      </c>
      <c r="H1120">
        <v>-11</v>
      </c>
      <c r="L1120" t="s">
        <v>7330</v>
      </c>
      <c r="M1120" t="s">
        <v>7330</v>
      </c>
      <c r="N1120">
        <v>20</v>
      </c>
      <c r="P1120">
        <v>0</v>
      </c>
      <c r="Q1120">
        <v>20</v>
      </c>
      <c r="R1120" t="s">
        <v>7332</v>
      </c>
      <c r="S1120">
        <v>0</v>
      </c>
    </row>
    <row r="1121" spans="1:19">
      <c r="A1121" t="s">
        <v>9201</v>
      </c>
      <c r="B1121">
        <v>103</v>
      </c>
      <c r="C1121" t="s">
        <v>7328</v>
      </c>
      <c r="D1121" t="s">
        <v>11293</v>
      </c>
      <c r="E1121" t="s">
        <v>11326</v>
      </c>
      <c r="F1121" t="s">
        <v>11295</v>
      </c>
      <c r="G1121" t="s">
        <v>10248</v>
      </c>
      <c r="H1121">
        <v>-11.5</v>
      </c>
      <c r="L1121" t="s">
        <v>7330</v>
      </c>
      <c r="M1121" t="s">
        <v>7330</v>
      </c>
      <c r="N1121">
        <v>440</v>
      </c>
      <c r="P1121">
        <v>0</v>
      </c>
      <c r="Q1121">
        <v>440</v>
      </c>
      <c r="R1121" t="s">
        <v>7332</v>
      </c>
      <c r="S1121">
        <v>0</v>
      </c>
    </row>
    <row r="1122" spans="1:19">
      <c r="A1122" t="s">
        <v>9201</v>
      </c>
      <c r="B1122">
        <v>103</v>
      </c>
      <c r="C1122" t="s">
        <v>7328</v>
      </c>
      <c r="D1122" t="s">
        <v>11293</v>
      </c>
      <c r="E1122" t="s">
        <v>11327</v>
      </c>
      <c r="F1122" t="s">
        <v>11295</v>
      </c>
      <c r="G1122" t="s">
        <v>10250</v>
      </c>
      <c r="H1122">
        <v>-12</v>
      </c>
      <c r="L1122" t="s">
        <v>7330</v>
      </c>
      <c r="M1122" t="s">
        <v>7330</v>
      </c>
      <c r="N1122">
        <v>143</v>
      </c>
      <c r="P1122">
        <v>0</v>
      </c>
      <c r="Q1122">
        <v>143</v>
      </c>
      <c r="R1122" t="s">
        <v>7332</v>
      </c>
      <c r="S1122">
        <v>0</v>
      </c>
    </row>
    <row r="1123" spans="1:19">
      <c r="A1123" t="s">
        <v>9201</v>
      </c>
      <c r="B1123">
        <v>103</v>
      </c>
      <c r="C1123" t="s">
        <v>7328</v>
      </c>
      <c r="D1123" t="s">
        <v>11328</v>
      </c>
      <c r="E1123" t="s">
        <v>11329</v>
      </c>
      <c r="F1123" t="s">
        <v>11330</v>
      </c>
      <c r="G1123" t="s">
        <v>11331</v>
      </c>
      <c r="H1123">
        <v>0</v>
      </c>
      <c r="K1123" t="s">
        <v>9343</v>
      </c>
      <c r="L1123" t="s">
        <v>11332</v>
      </c>
      <c r="M1123" t="s">
        <v>11333</v>
      </c>
      <c r="O1123">
        <v>100</v>
      </c>
      <c r="P1123">
        <v>100</v>
      </c>
      <c r="R1123" t="s">
        <v>7329</v>
      </c>
      <c r="S1123">
        <v>0</v>
      </c>
    </row>
    <row r="1124" spans="1:19">
      <c r="A1124" t="s">
        <v>9201</v>
      </c>
      <c r="B1124">
        <v>103</v>
      </c>
      <c r="C1124" t="s">
        <v>7328</v>
      </c>
      <c r="D1124" t="s">
        <v>11995</v>
      </c>
      <c r="E1124" t="s">
        <v>11996</v>
      </c>
      <c r="F1124" t="s">
        <v>11997</v>
      </c>
      <c r="G1124" t="s">
        <v>11998</v>
      </c>
      <c r="H1124">
        <v>-5.75</v>
      </c>
      <c r="K1124" t="s">
        <v>10179</v>
      </c>
      <c r="L1124" t="s">
        <v>11999</v>
      </c>
      <c r="M1124" t="s">
        <v>12000</v>
      </c>
      <c r="O1124">
        <v>60</v>
      </c>
      <c r="P1124">
        <v>60</v>
      </c>
      <c r="R1124" t="s">
        <v>7329</v>
      </c>
      <c r="S1124">
        <v>0</v>
      </c>
    </row>
    <row r="1125" spans="1:19">
      <c r="A1125" t="s">
        <v>7334</v>
      </c>
      <c r="B1125">
        <v>103</v>
      </c>
      <c r="C1125" t="s">
        <v>7328</v>
      </c>
      <c r="D1125" t="s">
        <v>7335</v>
      </c>
      <c r="E1125" t="s">
        <v>7336</v>
      </c>
      <c r="F1125" t="s">
        <v>7337</v>
      </c>
      <c r="G1125">
        <v>0</v>
      </c>
      <c r="H1125">
        <v>0</v>
      </c>
      <c r="L1125" t="s">
        <v>7330</v>
      </c>
      <c r="M1125" t="s">
        <v>7330</v>
      </c>
      <c r="N1125" s="501">
        <v>1122</v>
      </c>
      <c r="P1125">
        <v>56</v>
      </c>
      <c r="Q1125" s="501">
        <v>1066</v>
      </c>
      <c r="R1125" t="s">
        <v>7329</v>
      </c>
      <c r="S1125">
        <v>0</v>
      </c>
    </row>
    <row r="1126" spans="1:19">
      <c r="A1126" t="s">
        <v>7334</v>
      </c>
      <c r="B1126">
        <v>103</v>
      </c>
      <c r="C1126" t="s">
        <v>7328</v>
      </c>
      <c r="D1126" t="s">
        <v>7335</v>
      </c>
      <c r="E1126" t="s">
        <v>7338</v>
      </c>
      <c r="F1126" t="s">
        <v>7337</v>
      </c>
      <c r="G1126">
        <v>-0.5</v>
      </c>
      <c r="H1126">
        <v>-0.5</v>
      </c>
      <c r="L1126" t="s">
        <v>7330</v>
      </c>
      <c r="M1126" t="s">
        <v>7330</v>
      </c>
      <c r="N1126">
        <v>370</v>
      </c>
      <c r="P1126">
        <v>36</v>
      </c>
      <c r="Q1126">
        <v>334</v>
      </c>
      <c r="R1126" t="s">
        <v>7329</v>
      </c>
      <c r="S1126">
        <v>0</v>
      </c>
    </row>
    <row r="1127" spans="1:19">
      <c r="A1127" t="s">
        <v>7334</v>
      </c>
      <c r="B1127">
        <v>103</v>
      </c>
      <c r="C1127" t="s">
        <v>7328</v>
      </c>
      <c r="D1127" t="s">
        <v>7335</v>
      </c>
      <c r="E1127" t="s">
        <v>7339</v>
      </c>
      <c r="F1127" t="s">
        <v>7337</v>
      </c>
      <c r="G1127">
        <v>-1</v>
      </c>
      <c r="H1127">
        <v>-1</v>
      </c>
      <c r="L1127" t="s">
        <v>7330</v>
      </c>
      <c r="M1127" t="s">
        <v>7330</v>
      </c>
      <c r="N1127">
        <v>235</v>
      </c>
      <c r="P1127">
        <v>56</v>
      </c>
      <c r="Q1127">
        <v>179</v>
      </c>
      <c r="R1127" t="s">
        <v>7329</v>
      </c>
      <c r="S1127">
        <v>0</v>
      </c>
    </row>
    <row r="1128" spans="1:19">
      <c r="A1128" t="s">
        <v>7334</v>
      </c>
      <c r="B1128">
        <v>103</v>
      </c>
      <c r="C1128" t="s">
        <v>7328</v>
      </c>
      <c r="D1128" t="s">
        <v>7335</v>
      </c>
      <c r="E1128" t="s">
        <v>7340</v>
      </c>
      <c r="F1128" t="s">
        <v>7337</v>
      </c>
      <c r="G1128">
        <v>-1.25</v>
      </c>
      <c r="H1128">
        <v>-1.25</v>
      </c>
      <c r="L1128" t="s">
        <v>7330</v>
      </c>
      <c r="M1128" t="s">
        <v>7330</v>
      </c>
      <c r="N1128">
        <v>124</v>
      </c>
      <c r="P1128">
        <v>56</v>
      </c>
      <c r="Q1128">
        <v>68</v>
      </c>
      <c r="R1128" t="s">
        <v>7329</v>
      </c>
      <c r="S1128">
        <v>0</v>
      </c>
    </row>
    <row r="1129" spans="1:19">
      <c r="A1129" t="s">
        <v>7334</v>
      </c>
      <c r="B1129">
        <v>103</v>
      </c>
      <c r="C1129" t="s">
        <v>7328</v>
      </c>
      <c r="D1129" t="s">
        <v>7335</v>
      </c>
      <c r="E1129" t="s">
        <v>7341</v>
      </c>
      <c r="F1129" t="s">
        <v>7337</v>
      </c>
      <c r="G1129">
        <v>-1.5</v>
      </c>
      <c r="H1129">
        <v>-1.5</v>
      </c>
      <c r="L1129" t="s">
        <v>7330</v>
      </c>
      <c r="M1129" t="s">
        <v>7330</v>
      </c>
      <c r="N1129">
        <v>679</v>
      </c>
      <c r="P1129">
        <v>56</v>
      </c>
      <c r="Q1129">
        <v>623</v>
      </c>
      <c r="R1129" t="s">
        <v>7329</v>
      </c>
      <c r="S1129">
        <v>0</v>
      </c>
    </row>
    <row r="1130" spans="1:19">
      <c r="A1130" t="s">
        <v>7334</v>
      </c>
      <c r="B1130">
        <v>103</v>
      </c>
      <c r="C1130" t="s">
        <v>7328</v>
      </c>
      <c r="D1130" t="s">
        <v>7335</v>
      </c>
      <c r="E1130" t="s">
        <v>7342</v>
      </c>
      <c r="F1130" t="s">
        <v>7337</v>
      </c>
      <c r="G1130">
        <v>-1.75</v>
      </c>
      <c r="H1130">
        <v>-1.75</v>
      </c>
      <c r="L1130" t="s">
        <v>7330</v>
      </c>
      <c r="M1130" t="s">
        <v>7330</v>
      </c>
      <c r="N1130">
        <v>165</v>
      </c>
      <c r="P1130">
        <v>56</v>
      </c>
      <c r="Q1130">
        <v>109</v>
      </c>
      <c r="R1130" t="s">
        <v>7329</v>
      </c>
      <c r="S1130">
        <v>0</v>
      </c>
    </row>
    <row r="1131" spans="1:19">
      <c r="A1131" t="s">
        <v>7334</v>
      </c>
      <c r="B1131">
        <v>103</v>
      </c>
      <c r="C1131" t="s">
        <v>7328</v>
      </c>
      <c r="D1131" t="s">
        <v>7335</v>
      </c>
      <c r="E1131" t="s">
        <v>7343</v>
      </c>
      <c r="F1131" t="s">
        <v>7337</v>
      </c>
      <c r="G1131">
        <v>-2</v>
      </c>
      <c r="H1131">
        <v>-2</v>
      </c>
      <c r="L1131" t="s">
        <v>7330</v>
      </c>
      <c r="M1131" t="s">
        <v>7330</v>
      </c>
      <c r="N1131">
        <v>511</v>
      </c>
      <c r="P1131">
        <v>56</v>
      </c>
      <c r="Q1131">
        <v>455</v>
      </c>
      <c r="R1131" t="s">
        <v>7329</v>
      </c>
      <c r="S1131">
        <v>0</v>
      </c>
    </row>
    <row r="1132" spans="1:19">
      <c r="A1132" t="s">
        <v>7334</v>
      </c>
      <c r="B1132">
        <v>103</v>
      </c>
      <c r="C1132" t="s">
        <v>7328</v>
      </c>
      <c r="D1132" t="s">
        <v>7335</v>
      </c>
      <c r="E1132" t="s">
        <v>7344</v>
      </c>
      <c r="F1132" t="s">
        <v>7337</v>
      </c>
      <c r="G1132">
        <v>-2.25</v>
      </c>
      <c r="H1132">
        <v>-2.25</v>
      </c>
      <c r="L1132" t="s">
        <v>7330</v>
      </c>
      <c r="M1132" t="s">
        <v>7330</v>
      </c>
      <c r="N1132">
        <v>177</v>
      </c>
      <c r="P1132">
        <v>56</v>
      </c>
      <c r="Q1132">
        <v>121</v>
      </c>
      <c r="R1132" t="s">
        <v>7329</v>
      </c>
      <c r="S1132">
        <v>0</v>
      </c>
    </row>
    <row r="1133" spans="1:19">
      <c r="A1133" t="s">
        <v>7334</v>
      </c>
      <c r="B1133">
        <v>103</v>
      </c>
      <c r="C1133" t="s">
        <v>7328</v>
      </c>
      <c r="D1133" t="s">
        <v>7335</v>
      </c>
      <c r="E1133" t="s">
        <v>7345</v>
      </c>
      <c r="F1133" t="s">
        <v>7337</v>
      </c>
      <c r="G1133">
        <v>-2.5</v>
      </c>
      <c r="H1133">
        <v>-2.5</v>
      </c>
      <c r="L1133" t="s">
        <v>7330</v>
      </c>
      <c r="M1133" t="s">
        <v>7330</v>
      </c>
      <c r="N1133">
        <v>642</v>
      </c>
      <c r="P1133">
        <v>56</v>
      </c>
      <c r="Q1133">
        <v>586</v>
      </c>
      <c r="R1133" t="s">
        <v>7329</v>
      </c>
      <c r="S1133">
        <v>0</v>
      </c>
    </row>
    <row r="1134" spans="1:19">
      <c r="A1134" t="s">
        <v>7334</v>
      </c>
      <c r="B1134">
        <v>103</v>
      </c>
      <c r="C1134" t="s">
        <v>7328</v>
      </c>
      <c r="D1134" t="s">
        <v>7335</v>
      </c>
      <c r="E1134" t="s">
        <v>7346</v>
      </c>
      <c r="F1134" t="s">
        <v>7337</v>
      </c>
      <c r="G1134">
        <v>-2.75</v>
      </c>
      <c r="H1134">
        <v>-2.75</v>
      </c>
      <c r="L1134" t="s">
        <v>7330</v>
      </c>
      <c r="M1134" t="s">
        <v>7330</v>
      </c>
      <c r="N1134">
        <v>27</v>
      </c>
      <c r="P1134">
        <v>27</v>
      </c>
      <c r="R1134" t="s">
        <v>7329</v>
      </c>
      <c r="S1134">
        <v>0</v>
      </c>
    </row>
    <row r="1135" spans="1:19">
      <c r="A1135" t="s">
        <v>7334</v>
      </c>
      <c r="B1135">
        <v>103</v>
      </c>
      <c r="C1135" t="s">
        <v>7328</v>
      </c>
      <c r="D1135" t="s">
        <v>7335</v>
      </c>
      <c r="E1135" t="s">
        <v>7347</v>
      </c>
      <c r="F1135" t="s">
        <v>7337</v>
      </c>
      <c r="G1135">
        <v>-3</v>
      </c>
      <c r="H1135">
        <v>-3</v>
      </c>
      <c r="L1135" t="s">
        <v>7330</v>
      </c>
      <c r="M1135" t="s">
        <v>7330</v>
      </c>
      <c r="N1135">
        <v>29</v>
      </c>
      <c r="P1135">
        <v>29</v>
      </c>
      <c r="R1135" t="s">
        <v>7329</v>
      </c>
      <c r="S1135">
        <v>0</v>
      </c>
    </row>
    <row r="1136" spans="1:19">
      <c r="A1136" t="s">
        <v>7334</v>
      </c>
      <c r="B1136">
        <v>103</v>
      </c>
      <c r="C1136" t="s">
        <v>7328</v>
      </c>
      <c r="D1136" t="s">
        <v>7335</v>
      </c>
      <c r="E1136" t="s">
        <v>7348</v>
      </c>
      <c r="F1136" t="s">
        <v>7337</v>
      </c>
      <c r="G1136">
        <v>-3.25</v>
      </c>
      <c r="H1136">
        <v>-3.25</v>
      </c>
      <c r="L1136" t="s">
        <v>7330</v>
      </c>
      <c r="M1136" t="s">
        <v>7330</v>
      </c>
      <c r="N1136">
        <v>105</v>
      </c>
      <c r="P1136">
        <v>56</v>
      </c>
      <c r="Q1136">
        <v>49</v>
      </c>
      <c r="R1136" t="s">
        <v>7329</v>
      </c>
      <c r="S1136">
        <v>0</v>
      </c>
    </row>
    <row r="1137" spans="1:19">
      <c r="A1137" t="s">
        <v>7334</v>
      </c>
      <c r="B1137">
        <v>103</v>
      </c>
      <c r="C1137" t="s">
        <v>7328</v>
      </c>
      <c r="D1137" t="s">
        <v>7335</v>
      </c>
      <c r="E1137" t="s">
        <v>7349</v>
      </c>
      <c r="F1137" t="s">
        <v>7337</v>
      </c>
      <c r="G1137">
        <v>-3.5</v>
      </c>
      <c r="H1137">
        <v>-3.5</v>
      </c>
      <c r="L1137" t="s">
        <v>7330</v>
      </c>
      <c r="M1137" t="s">
        <v>7330</v>
      </c>
      <c r="N1137">
        <v>96</v>
      </c>
      <c r="P1137">
        <v>56</v>
      </c>
      <c r="Q1137">
        <v>40</v>
      </c>
      <c r="R1137" t="s">
        <v>7329</v>
      </c>
      <c r="S1137">
        <v>0</v>
      </c>
    </row>
    <row r="1138" spans="1:19">
      <c r="A1138" t="s">
        <v>7334</v>
      </c>
      <c r="B1138">
        <v>103</v>
      </c>
      <c r="C1138" t="s">
        <v>7328</v>
      </c>
      <c r="D1138" t="s">
        <v>7335</v>
      </c>
      <c r="E1138" t="s">
        <v>7350</v>
      </c>
      <c r="F1138" t="s">
        <v>7337</v>
      </c>
      <c r="G1138">
        <v>-3.75</v>
      </c>
      <c r="H1138">
        <v>-3.75</v>
      </c>
      <c r="L1138" t="s">
        <v>7330</v>
      </c>
      <c r="M1138" t="s">
        <v>7330</v>
      </c>
      <c r="N1138">
        <v>292</v>
      </c>
      <c r="P1138">
        <v>56</v>
      </c>
      <c r="Q1138">
        <v>236</v>
      </c>
      <c r="R1138" t="s">
        <v>7329</v>
      </c>
      <c r="S1138">
        <v>0</v>
      </c>
    </row>
    <row r="1139" spans="1:19">
      <c r="A1139" t="s">
        <v>7334</v>
      </c>
      <c r="B1139">
        <v>103</v>
      </c>
      <c r="C1139" t="s">
        <v>7328</v>
      </c>
      <c r="D1139" t="s">
        <v>7335</v>
      </c>
      <c r="E1139" t="s">
        <v>7351</v>
      </c>
      <c r="F1139" t="s">
        <v>7337</v>
      </c>
      <c r="G1139">
        <v>-4</v>
      </c>
      <c r="H1139">
        <v>-4</v>
      </c>
      <c r="L1139" t="s">
        <v>7330</v>
      </c>
      <c r="M1139" t="s">
        <v>7330</v>
      </c>
      <c r="N1139">
        <v>613</v>
      </c>
      <c r="P1139">
        <v>56</v>
      </c>
      <c r="Q1139">
        <v>557</v>
      </c>
      <c r="R1139" t="s">
        <v>7329</v>
      </c>
      <c r="S1139">
        <v>0</v>
      </c>
    </row>
    <row r="1140" spans="1:19">
      <c r="A1140" t="s">
        <v>7334</v>
      </c>
      <c r="B1140">
        <v>103</v>
      </c>
      <c r="C1140" t="s">
        <v>7328</v>
      </c>
      <c r="D1140" t="s">
        <v>7335</v>
      </c>
      <c r="E1140" t="s">
        <v>7352</v>
      </c>
      <c r="F1140" t="s">
        <v>7337</v>
      </c>
      <c r="G1140">
        <v>-4.25</v>
      </c>
      <c r="H1140">
        <v>-4.25</v>
      </c>
      <c r="L1140" t="s">
        <v>7330</v>
      </c>
      <c r="M1140" t="s">
        <v>7330</v>
      </c>
      <c r="N1140">
        <v>45</v>
      </c>
      <c r="P1140">
        <v>45</v>
      </c>
      <c r="R1140" t="s">
        <v>7329</v>
      </c>
      <c r="S1140">
        <v>0</v>
      </c>
    </row>
    <row r="1141" spans="1:19">
      <c r="A1141" t="s">
        <v>7334</v>
      </c>
      <c r="B1141">
        <v>103</v>
      </c>
      <c r="C1141" t="s">
        <v>7328</v>
      </c>
      <c r="D1141" t="s">
        <v>7335</v>
      </c>
      <c r="E1141" t="s">
        <v>7353</v>
      </c>
      <c r="F1141" t="s">
        <v>7337</v>
      </c>
      <c r="G1141">
        <v>-4.5</v>
      </c>
      <c r="H1141">
        <v>-4.5</v>
      </c>
      <c r="L1141" t="s">
        <v>7330</v>
      </c>
      <c r="M1141" t="s">
        <v>7330</v>
      </c>
      <c r="N1141">
        <v>138</v>
      </c>
      <c r="P1141">
        <v>56</v>
      </c>
      <c r="Q1141">
        <v>82</v>
      </c>
      <c r="R1141" t="s">
        <v>7329</v>
      </c>
      <c r="S1141">
        <v>0</v>
      </c>
    </row>
    <row r="1142" spans="1:19">
      <c r="A1142" t="s">
        <v>7334</v>
      </c>
      <c r="B1142">
        <v>103</v>
      </c>
      <c r="C1142" t="s">
        <v>7328</v>
      </c>
      <c r="D1142" t="s">
        <v>7335</v>
      </c>
      <c r="E1142" t="s">
        <v>7354</v>
      </c>
      <c r="F1142" t="s">
        <v>7337</v>
      </c>
      <c r="G1142">
        <v>-4.75</v>
      </c>
      <c r="H1142">
        <v>-4.75</v>
      </c>
      <c r="L1142" t="s">
        <v>7330</v>
      </c>
      <c r="M1142" t="s">
        <v>7330</v>
      </c>
      <c r="N1142">
        <v>118</v>
      </c>
      <c r="P1142">
        <v>56</v>
      </c>
      <c r="Q1142">
        <v>62</v>
      </c>
      <c r="R1142" t="s">
        <v>7329</v>
      </c>
      <c r="S1142">
        <v>0</v>
      </c>
    </row>
    <row r="1143" spans="1:19">
      <c r="A1143" t="s">
        <v>7334</v>
      </c>
      <c r="B1143">
        <v>103</v>
      </c>
      <c r="C1143" t="s">
        <v>7328</v>
      </c>
      <c r="D1143" t="s">
        <v>7335</v>
      </c>
      <c r="E1143" t="s">
        <v>7355</v>
      </c>
      <c r="F1143" t="s">
        <v>7337</v>
      </c>
      <c r="G1143">
        <v>-5</v>
      </c>
      <c r="H1143">
        <v>-5</v>
      </c>
      <c r="L1143" t="s">
        <v>7330</v>
      </c>
      <c r="M1143" t="s">
        <v>7330</v>
      </c>
      <c r="N1143">
        <v>796</v>
      </c>
      <c r="P1143">
        <v>56</v>
      </c>
      <c r="Q1143">
        <v>740</v>
      </c>
      <c r="R1143" t="s">
        <v>7329</v>
      </c>
      <c r="S1143">
        <v>0</v>
      </c>
    </row>
    <row r="1144" spans="1:19">
      <c r="A1144" t="s">
        <v>7334</v>
      </c>
      <c r="B1144">
        <v>103</v>
      </c>
      <c r="C1144" t="s">
        <v>7328</v>
      </c>
      <c r="D1144" t="s">
        <v>7335</v>
      </c>
      <c r="E1144" t="s">
        <v>7356</v>
      </c>
      <c r="F1144" t="s">
        <v>7337</v>
      </c>
      <c r="G1144">
        <v>-6.5</v>
      </c>
      <c r="H1144">
        <v>-6.5</v>
      </c>
      <c r="L1144" t="s">
        <v>7330</v>
      </c>
      <c r="M1144" t="s">
        <v>7330</v>
      </c>
      <c r="N1144">
        <v>490</v>
      </c>
      <c r="P1144">
        <v>56</v>
      </c>
      <c r="Q1144">
        <v>434</v>
      </c>
      <c r="R1144" t="s">
        <v>7329</v>
      </c>
      <c r="S1144">
        <v>0</v>
      </c>
    </row>
    <row r="1145" spans="1:19">
      <c r="A1145" t="s">
        <v>7334</v>
      </c>
      <c r="B1145">
        <v>103</v>
      </c>
      <c r="C1145" t="s">
        <v>7328</v>
      </c>
      <c r="D1145" t="s">
        <v>7564</v>
      </c>
      <c r="E1145" t="s">
        <v>7565</v>
      </c>
      <c r="F1145" t="s">
        <v>7566</v>
      </c>
      <c r="G1145">
        <v>-0.5</v>
      </c>
      <c r="H1145">
        <v>-0.5</v>
      </c>
      <c r="L1145" t="s">
        <v>7330</v>
      </c>
      <c r="M1145" t="s">
        <v>7330</v>
      </c>
      <c r="N1145">
        <v>425</v>
      </c>
      <c r="P1145">
        <v>34</v>
      </c>
      <c r="Q1145">
        <v>391</v>
      </c>
      <c r="R1145" t="s">
        <v>7329</v>
      </c>
      <c r="S1145">
        <v>0</v>
      </c>
    </row>
    <row r="1146" spans="1:19">
      <c r="A1146" t="s">
        <v>7334</v>
      </c>
      <c r="B1146">
        <v>103</v>
      </c>
      <c r="C1146" t="s">
        <v>7328</v>
      </c>
      <c r="D1146" t="s">
        <v>7564</v>
      </c>
      <c r="E1146" t="s">
        <v>7567</v>
      </c>
      <c r="F1146" t="s">
        <v>7566</v>
      </c>
      <c r="G1146">
        <v>-1.5</v>
      </c>
      <c r="H1146">
        <v>-1.5</v>
      </c>
      <c r="L1146" t="s">
        <v>7330</v>
      </c>
      <c r="M1146" t="s">
        <v>7330</v>
      </c>
      <c r="N1146">
        <v>376</v>
      </c>
      <c r="P1146">
        <v>54</v>
      </c>
      <c r="Q1146">
        <v>322</v>
      </c>
      <c r="R1146" t="s">
        <v>7329</v>
      </c>
      <c r="S1146">
        <v>0</v>
      </c>
    </row>
    <row r="1147" spans="1:19">
      <c r="A1147" t="s">
        <v>7334</v>
      </c>
      <c r="B1147">
        <v>103</v>
      </c>
      <c r="C1147" t="s">
        <v>7328</v>
      </c>
      <c r="D1147" t="s">
        <v>7564</v>
      </c>
      <c r="E1147" t="s">
        <v>7568</v>
      </c>
      <c r="F1147" t="s">
        <v>7566</v>
      </c>
      <c r="G1147">
        <v>-2.5</v>
      </c>
      <c r="H1147">
        <v>-2.5</v>
      </c>
      <c r="L1147" t="s">
        <v>7330</v>
      </c>
      <c r="M1147" t="s">
        <v>7330</v>
      </c>
      <c r="N1147">
        <v>148</v>
      </c>
      <c r="P1147">
        <v>54</v>
      </c>
      <c r="Q1147">
        <v>94</v>
      </c>
      <c r="R1147" t="s">
        <v>7329</v>
      </c>
      <c r="S1147">
        <v>0</v>
      </c>
    </row>
    <row r="1148" spans="1:19">
      <c r="A1148" t="s">
        <v>7334</v>
      </c>
      <c r="B1148">
        <v>103</v>
      </c>
      <c r="C1148" t="s">
        <v>7328</v>
      </c>
      <c r="D1148" t="s">
        <v>7564</v>
      </c>
      <c r="E1148" t="s">
        <v>7569</v>
      </c>
      <c r="F1148" t="s">
        <v>7566</v>
      </c>
      <c r="G1148">
        <v>-3.5</v>
      </c>
      <c r="H1148">
        <v>-3.5</v>
      </c>
      <c r="L1148" t="s">
        <v>7330</v>
      </c>
      <c r="M1148" t="s">
        <v>7330</v>
      </c>
      <c r="N1148">
        <v>297</v>
      </c>
      <c r="P1148">
        <v>54</v>
      </c>
      <c r="Q1148">
        <v>243</v>
      </c>
      <c r="R1148" t="s">
        <v>7329</v>
      </c>
      <c r="S1148">
        <v>0</v>
      </c>
    </row>
    <row r="1149" spans="1:19">
      <c r="A1149" t="s">
        <v>7334</v>
      </c>
      <c r="B1149">
        <v>103</v>
      </c>
      <c r="C1149" t="s">
        <v>7328</v>
      </c>
      <c r="D1149" t="s">
        <v>7564</v>
      </c>
      <c r="E1149" t="s">
        <v>7570</v>
      </c>
      <c r="F1149" t="s">
        <v>7566</v>
      </c>
      <c r="G1149">
        <v>-4.5</v>
      </c>
      <c r="H1149">
        <v>-4.5</v>
      </c>
      <c r="L1149" t="s">
        <v>7330</v>
      </c>
      <c r="M1149" t="s">
        <v>7330</v>
      </c>
      <c r="N1149">
        <v>385</v>
      </c>
      <c r="P1149">
        <v>54</v>
      </c>
      <c r="Q1149">
        <v>331</v>
      </c>
      <c r="R1149" t="s">
        <v>7329</v>
      </c>
      <c r="S1149">
        <v>0</v>
      </c>
    </row>
    <row r="1150" spans="1:19">
      <c r="A1150" t="s">
        <v>7334</v>
      </c>
      <c r="B1150">
        <v>103</v>
      </c>
      <c r="C1150" t="s">
        <v>7328</v>
      </c>
      <c r="D1150" t="s">
        <v>12016</v>
      </c>
      <c r="E1150" t="s">
        <v>11373</v>
      </c>
      <c r="F1150" t="s">
        <v>6448</v>
      </c>
      <c r="G1150">
        <v>-3.75</v>
      </c>
      <c r="H1150">
        <v>-3.75</v>
      </c>
      <c r="L1150" t="s">
        <v>9678</v>
      </c>
      <c r="M1150" t="s">
        <v>9678</v>
      </c>
      <c r="O1150">
        <v>1</v>
      </c>
      <c r="P1150">
        <v>0</v>
      </c>
      <c r="Q1150">
        <v>1</v>
      </c>
      <c r="R1150" t="s">
        <v>7329</v>
      </c>
      <c r="S1150">
        <v>0</v>
      </c>
    </row>
    <row r="1151" spans="1:19">
      <c r="A1151" t="s">
        <v>7334</v>
      </c>
      <c r="B1151">
        <v>103</v>
      </c>
      <c r="C1151" t="s">
        <v>7328</v>
      </c>
      <c r="D1151" t="s">
        <v>12017</v>
      </c>
      <c r="E1151" t="s">
        <v>11419</v>
      </c>
      <c r="F1151" t="s">
        <v>6442</v>
      </c>
      <c r="G1151">
        <v>-3.75</v>
      </c>
      <c r="H1151">
        <v>-3.75</v>
      </c>
      <c r="L1151" t="s">
        <v>9821</v>
      </c>
      <c r="M1151" t="s">
        <v>9821</v>
      </c>
      <c r="O1151">
        <v>1</v>
      </c>
      <c r="P1151">
        <v>0</v>
      </c>
      <c r="Q1151">
        <v>1</v>
      </c>
      <c r="R1151" t="s">
        <v>7329</v>
      </c>
      <c r="S1151">
        <v>0</v>
      </c>
    </row>
    <row r="1152" spans="1:19">
      <c r="A1152" t="s">
        <v>7334</v>
      </c>
      <c r="B1152">
        <v>103</v>
      </c>
      <c r="C1152" t="s">
        <v>7328</v>
      </c>
      <c r="D1152" t="s">
        <v>9180</v>
      </c>
      <c r="E1152" t="s">
        <v>9181</v>
      </c>
      <c r="F1152" t="s">
        <v>6416</v>
      </c>
      <c r="G1152">
        <v>-1.25</v>
      </c>
      <c r="H1152">
        <v>-1.25</v>
      </c>
      <c r="L1152" t="s">
        <v>9182</v>
      </c>
      <c r="M1152" t="s">
        <v>9182</v>
      </c>
      <c r="O1152">
        <v>1</v>
      </c>
      <c r="P1152">
        <v>1</v>
      </c>
      <c r="R1152" t="s">
        <v>7329</v>
      </c>
      <c r="S1152">
        <v>0</v>
      </c>
    </row>
    <row r="1153" spans="1:19">
      <c r="A1153" t="s">
        <v>7334</v>
      </c>
      <c r="B1153">
        <v>103</v>
      </c>
      <c r="C1153" t="s">
        <v>7328</v>
      </c>
      <c r="D1153" t="s">
        <v>9180</v>
      </c>
      <c r="E1153" t="s">
        <v>9183</v>
      </c>
      <c r="F1153" t="s">
        <v>6416</v>
      </c>
      <c r="G1153">
        <v>-2.75</v>
      </c>
      <c r="H1153">
        <v>-2.75</v>
      </c>
      <c r="L1153" t="s">
        <v>9182</v>
      </c>
      <c r="M1153" t="s">
        <v>9182</v>
      </c>
      <c r="O1153">
        <v>1</v>
      </c>
      <c r="P1153">
        <v>1</v>
      </c>
      <c r="R1153" t="s">
        <v>7329</v>
      </c>
      <c r="S1153">
        <v>0</v>
      </c>
    </row>
    <row r="1154" spans="1:19">
      <c r="A1154" t="s">
        <v>7334</v>
      </c>
      <c r="B1154">
        <v>103</v>
      </c>
      <c r="C1154" t="s">
        <v>7328</v>
      </c>
      <c r="D1154" t="s">
        <v>11334</v>
      </c>
      <c r="E1154" t="s">
        <v>11335</v>
      </c>
      <c r="F1154" t="s">
        <v>11336</v>
      </c>
      <c r="G1154">
        <v>0</v>
      </c>
      <c r="H1154">
        <v>0</v>
      </c>
      <c r="L1154" t="s">
        <v>11337</v>
      </c>
      <c r="M1154" t="s">
        <v>11337</v>
      </c>
      <c r="O1154">
        <v>1</v>
      </c>
      <c r="P1154">
        <v>1</v>
      </c>
      <c r="R1154" t="s">
        <v>7331</v>
      </c>
      <c r="S1154">
        <v>0</v>
      </c>
    </row>
    <row r="1155" spans="1:19">
      <c r="A1155" t="s">
        <v>7334</v>
      </c>
      <c r="B1155">
        <v>103</v>
      </c>
      <c r="C1155" t="s">
        <v>7328</v>
      </c>
      <c r="D1155" t="s">
        <v>9128</v>
      </c>
      <c r="E1155" t="s">
        <v>9129</v>
      </c>
      <c r="F1155" t="s">
        <v>7296</v>
      </c>
      <c r="G1155">
        <v>0</v>
      </c>
      <c r="H1155">
        <v>0</v>
      </c>
      <c r="L1155" t="s">
        <v>7330</v>
      </c>
      <c r="M1155" t="s">
        <v>7330</v>
      </c>
      <c r="N1155">
        <v>37</v>
      </c>
      <c r="P1155">
        <v>0</v>
      </c>
      <c r="Q1155">
        <v>37</v>
      </c>
      <c r="R1155" t="s">
        <v>7329</v>
      </c>
      <c r="S1155">
        <v>0</v>
      </c>
    </row>
    <row r="1156" spans="1:19">
      <c r="A1156" t="s">
        <v>7334</v>
      </c>
      <c r="B1156">
        <v>103</v>
      </c>
      <c r="C1156" t="s">
        <v>7328</v>
      </c>
      <c r="D1156" t="s">
        <v>9128</v>
      </c>
      <c r="E1156" t="s">
        <v>9130</v>
      </c>
      <c r="F1156" t="s">
        <v>7296</v>
      </c>
      <c r="G1156">
        <v>-0.5</v>
      </c>
      <c r="H1156">
        <v>-0.5</v>
      </c>
      <c r="L1156" t="s">
        <v>7330</v>
      </c>
      <c r="M1156" t="s">
        <v>7330</v>
      </c>
      <c r="N1156">
        <v>37</v>
      </c>
      <c r="P1156">
        <v>0</v>
      </c>
      <c r="Q1156">
        <v>37</v>
      </c>
      <c r="R1156" t="s">
        <v>7329</v>
      </c>
      <c r="S1156">
        <v>0</v>
      </c>
    </row>
    <row r="1157" spans="1:19">
      <c r="A1157" t="s">
        <v>7334</v>
      </c>
      <c r="B1157">
        <v>103</v>
      </c>
      <c r="C1157" t="s">
        <v>7328</v>
      </c>
      <c r="D1157" t="s">
        <v>9128</v>
      </c>
      <c r="E1157" t="s">
        <v>9131</v>
      </c>
      <c r="F1157" t="s">
        <v>7296</v>
      </c>
      <c r="G1157">
        <v>-1</v>
      </c>
      <c r="H1157">
        <v>-1</v>
      </c>
      <c r="L1157" t="s">
        <v>7330</v>
      </c>
      <c r="M1157" t="s">
        <v>7330</v>
      </c>
      <c r="N1157">
        <v>31</v>
      </c>
      <c r="P1157">
        <v>0</v>
      </c>
      <c r="Q1157">
        <v>31</v>
      </c>
      <c r="R1157" t="s">
        <v>7329</v>
      </c>
      <c r="S1157">
        <v>0</v>
      </c>
    </row>
    <row r="1158" spans="1:19">
      <c r="A1158" t="s">
        <v>7334</v>
      </c>
      <c r="B1158">
        <v>103</v>
      </c>
      <c r="C1158" t="s">
        <v>7328</v>
      </c>
      <c r="D1158" t="s">
        <v>9128</v>
      </c>
      <c r="E1158" t="s">
        <v>9132</v>
      </c>
      <c r="F1158" t="s">
        <v>7296</v>
      </c>
      <c r="G1158">
        <v>-1.25</v>
      </c>
      <c r="H1158">
        <v>-1.25</v>
      </c>
      <c r="L1158" t="s">
        <v>7330</v>
      </c>
      <c r="M1158" t="s">
        <v>7330</v>
      </c>
      <c r="N1158">
        <v>83</v>
      </c>
      <c r="P1158">
        <v>0</v>
      </c>
      <c r="Q1158">
        <v>83</v>
      </c>
      <c r="R1158" t="s">
        <v>7329</v>
      </c>
      <c r="S1158">
        <v>0</v>
      </c>
    </row>
    <row r="1159" spans="1:19">
      <c r="A1159" t="s">
        <v>7334</v>
      </c>
      <c r="B1159">
        <v>103</v>
      </c>
      <c r="C1159" t="s">
        <v>7328</v>
      </c>
      <c r="D1159" t="s">
        <v>9128</v>
      </c>
      <c r="E1159" t="s">
        <v>9133</v>
      </c>
      <c r="F1159" t="s">
        <v>7296</v>
      </c>
      <c r="G1159">
        <v>-1.5</v>
      </c>
      <c r="H1159">
        <v>-1.5</v>
      </c>
      <c r="L1159" t="s">
        <v>7330</v>
      </c>
      <c r="M1159" t="s">
        <v>7330</v>
      </c>
      <c r="N1159">
        <v>103</v>
      </c>
      <c r="P1159">
        <v>0</v>
      </c>
      <c r="Q1159">
        <v>103</v>
      </c>
      <c r="R1159" t="s">
        <v>7329</v>
      </c>
      <c r="S1159">
        <v>0</v>
      </c>
    </row>
    <row r="1160" spans="1:19">
      <c r="A1160" t="s">
        <v>7334</v>
      </c>
      <c r="B1160">
        <v>103</v>
      </c>
      <c r="C1160" t="s">
        <v>7328</v>
      </c>
      <c r="D1160" t="s">
        <v>9128</v>
      </c>
      <c r="E1160" t="s">
        <v>9134</v>
      </c>
      <c r="F1160" t="s">
        <v>7296</v>
      </c>
      <c r="G1160">
        <v>-1.75</v>
      </c>
      <c r="H1160">
        <v>-1.75</v>
      </c>
      <c r="L1160" t="s">
        <v>7330</v>
      </c>
      <c r="M1160" t="s">
        <v>7330</v>
      </c>
      <c r="N1160">
        <v>29</v>
      </c>
      <c r="P1160">
        <v>0</v>
      </c>
      <c r="Q1160">
        <v>29</v>
      </c>
      <c r="R1160" t="s">
        <v>7329</v>
      </c>
      <c r="S1160">
        <v>0</v>
      </c>
    </row>
    <row r="1161" spans="1:19">
      <c r="A1161" t="s">
        <v>7334</v>
      </c>
      <c r="B1161">
        <v>103</v>
      </c>
      <c r="C1161" t="s">
        <v>7328</v>
      </c>
      <c r="D1161" t="s">
        <v>9128</v>
      </c>
      <c r="E1161" t="s">
        <v>9135</v>
      </c>
      <c r="F1161" t="s">
        <v>7296</v>
      </c>
      <c r="G1161">
        <v>-2</v>
      </c>
      <c r="H1161">
        <v>-2</v>
      </c>
      <c r="L1161" t="s">
        <v>7330</v>
      </c>
      <c r="M1161" t="s">
        <v>7330</v>
      </c>
      <c r="N1161">
        <v>61</v>
      </c>
      <c r="P1161">
        <v>0</v>
      </c>
      <c r="Q1161">
        <v>61</v>
      </c>
      <c r="R1161" t="s">
        <v>7329</v>
      </c>
      <c r="S1161">
        <v>0</v>
      </c>
    </row>
    <row r="1162" spans="1:19">
      <c r="A1162" t="s">
        <v>7334</v>
      </c>
      <c r="B1162">
        <v>103</v>
      </c>
      <c r="C1162" t="s">
        <v>7328</v>
      </c>
      <c r="D1162" t="s">
        <v>9128</v>
      </c>
      <c r="E1162" t="s">
        <v>9136</v>
      </c>
      <c r="F1162" t="s">
        <v>7296</v>
      </c>
      <c r="G1162">
        <v>-2.25</v>
      </c>
      <c r="H1162">
        <v>-2.25</v>
      </c>
      <c r="L1162" t="s">
        <v>7330</v>
      </c>
      <c r="M1162" t="s">
        <v>7330</v>
      </c>
      <c r="N1162">
        <v>40</v>
      </c>
      <c r="P1162">
        <v>0</v>
      </c>
      <c r="Q1162">
        <v>40</v>
      </c>
      <c r="R1162" t="s">
        <v>7329</v>
      </c>
      <c r="S1162">
        <v>0</v>
      </c>
    </row>
    <row r="1163" spans="1:19">
      <c r="A1163" t="s">
        <v>7334</v>
      </c>
      <c r="B1163">
        <v>103</v>
      </c>
      <c r="C1163" t="s">
        <v>7328</v>
      </c>
      <c r="D1163" t="s">
        <v>9128</v>
      </c>
      <c r="E1163" t="s">
        <v>9137</v>
      </c>
      <c r="F1163" t="s">
        <v>7296</v>
      </c>
      <c r="G1163">
        <v>-2.5</v>
      </c>
      <c r="H1163">
        <v>-2.5</v>
      </c>
      <c r="L1163" t="s">
        <v>7330</v>
      </c>
      <c r="M1163" t="s">
        <v>7330</v>
      </c>
      <c r="N1163">
        <v>19</v>
      </c>
      <c r="P1163">
        <v>0</v>
      </c>
      <c r="Q1163">
        <v>19</v>
      </c>
      <c r="R1163" t="s">
        <v>7329</v>
      </c>
      <c r="S1163">
        <v>0</v>
      </c>
    </row>
    <row r="1164" spans="1:19">
      <c r="A1164" t="s">
        <v>7334</v>
      </c>
      <c r="B1164">
        <v>103</v>
      </c>
      <c r="C1164" t="s">
        <v>7328</v>
      </c>
      <c r="D1164" t="s">
        <v>9128</v>
      </c>
      <c r="E1164" t="s">
        <v>9138</v>
      </c>
      <c r="F1164" t="s">
        <v>7296</v>
      </c>
      <c r="G1164">
        <v>-2.75</v>
      </c>
      <c r="H1164">
        <v>-2.75</v>
      </c>
      <c r="L1164" t="s">
        <v>7330</v>
      </c>
      <c r="M1164" t="s">
        <v>7330</v>
      </c>
      <c r="N1164">
        <v>28</v>
      </c>
      <c r="P1164">
        <v>0</v>
      </c>
      <c r="Q1164">
        <v>28</v>
      </c>
      <c r="R1164" t="s">
        <v>7329</v>
      </c>
      <c r="S1164">
        <v>0</v>
      </c>
    </row>
    <row r="1165" spans="1:19">
      <c r="A1165" t="s">
        <v>7334</v>
      </c>
      <c r="B1165">
        <v>103</v>
      </c>
      <c r="C1165" t="s">
        <v>7328</v>
      </c>
      <c r="D1165" t="s">
        <v>9128</v>
      </c>
      <c r="E1165" t="s">
        <v>9139</v>
      </c>
      <c r="F1165" t="s">
        <v>7296</v>
      </c>
      <c r="G1165">
        <v>-3</v>
      </c>
      <c r="H1165">
        <v>-3</v>
      </c>
      <c r="L1165" t="s">
        <v>7330</v>
      </c>
      <c r="M1165" t="s">
        <v>7330</v>
      </c>
      <c r="N1165">
        <v>58</v>
      </c>
      <c r="P1165">
        <v>0</v>
      </c>
      <c r="Q1165">
        <v>58</v>
      </c>
      <c r="R1165" t="s">
        <v>7329</v>
      </c>
      <c r="S1165">
        <v>0</v>
      </c>
    </row>
    <row r="1166" spans="1:19">
      <c r="A1166" t="s">
        <v>7334</v>
      </c>
      <c r="B1166">
        <v>103</v>
      </c>
      <c r="C1166" t="s">
        <v>7328</v>
      </c>
      <c r="D1166" t="s">
        <v>9128</v>
      </c>
      <c r="E1166" t="s">
        <v>9140</v>
      </c>
      <c r="F1166" t="s">
        <v>7296</v>
      </c>
      <c r="G1166">
        <v>-3.25</v>
      </c>
      <c r="H1166">
        <v>-3.25</v>
      </c>
      <c r="L1166" t="s">
        <v>7330</v>
      </c>
      <c r="M1166" t="s">
        <v>7330</v>
      </c>
      <c r="N1166">
        <v>36</v>
      </c>
      <c r="P1166">
        <v>0</v>
      </c>
      <c r="Q1166">
        <v>36</v>
      </c>
      <c r="R1166" t="s">
        <v>7329</v>
      </c>
      <c r="S1166">
        <v>0</v>
      </c>
    </row>
    <row r="1167" spans="1:19">
      <c r="A1167" t="s">
        <v>7334</v>
      </c>
      <c r="B1167">
        <v>103</v>
      </c>
      <c r="C1167" t="s">
        <v>7328</v>
      </c>
      <c r="D1167" t="s">
        <v>9128</v>
      </c>
      <c r="E1167" t="s">
        <v>9141</v>
      </c>
      <c r="F1167" t="s">
        <v>7296</v>
      </c>
      <c r="G1167">
        <v>-3.5</v>
      </c>
      <c r="H1167">
        <v>-3.5</v>
      </c>
      <c r="L1167" t="s">
        <v>7330</v>
      </c>
      <c r="M1167" t="s">
        <v>7330</v>
      </c>
      <c r="N1167">
        <v>27</v>
      </c>
      <c r="P1167">
        <v>0</v>
      </c>
      <c r="Q1167">
        <v>27</v>
      </c>
      <c r="R1167" t="s">
        <v>7329</v>
      </c>
      <c r="S1167">
        <v>0</v>
      </c>
    </row>
    <row r="1168" spans="1:19">
      <c r="A1168" t="s">
        <v>7334</v>
      </c>
      <c r="B1168">
        <v>103</v>
      </c>
      <c r="C1168" t="s">
        <v>7328</v>
      </c>
      <c r="D1168" t="s">
        <v>9128</v>
      </c>
      <c r="E1168" t="s">
        <v>9142</v>
      </c>
      <c r="F1168" t="s">
        <v>7296</v>
      </c>
      <c r="G1168">
        <v>-3.75</v>
      </c>
      <c r="H1168">
        <v>-3.75</v>
      </c>
      <c r="L1168" t="s">
        <v>7330</v>
      </c>
      <c r="M1168" t="s">
        <v>7330</v>
      </c>
      <c r="N1168">
        <v>59</v>
      </c>
      <c r="P1168">
        <v>0</v>
      </c>
      <c r="Q1168">
        <v>59</v>
      </c>
      <c r="R1168" t="s">
        <v>7329</v>
      </c>
      <c r="S1168">
        <v>0</v>
      </c>
    </row>
    <row r="1169" spans="1:19">
      <c r="A1169" t="s">
        <v>7334</v>
      </c>
      <c r="B1169">
        <v>103</v>
      </c>
      <c r="C1169" t="s">
        <v>7328</v>
      </c>
      <c r="D1169" t="s">
        <v>9128</v>
      </c>
      <c r="E1169" t="s">
        <v>9143</v>
      </c>
      <c r="F1169" t="s">
        <v>7296</v>
      </c>
      <c r="G1169">
        <v>-4</v>
      </c>
      <c r="H1169">
        <v>-4</v>
      </c>
      <c r="L1169" t="s">
        <v>7330</v>
      </c>
      <c r="M1169" t="s">
        <v>7330</v>
      </c>
      <c r="N1169">
        <v>21</v>
      </c>
      <c r="P1169">
        <v>0</v>
      </c>
      <c r="Q1169">
        <v>21</v>
      </c>
      <c r="R1169" t="s">
        <v>7329</v>
      </c>
      <c r="S1169">
        <v>0</v>
      </c>
    </row>
    <row r="1170" spans="1:19">
      <c r="A1170" t="s">
        <v>7334</v>
      </c>
      <c r="B1170">
        <v>103</v>
      </c>
      <c r="C1170" t="s">
        <v>7328</v>
      </c>
      <c r="D1170" t="s">
        <v>9128</v>
      </c>
      <c r="E1170" t="s">
        <v>9144</v>
      </c>
      <c r="F1170" t="s">
        <v>7296</v>
      </c>
      <c r="G1170">
        <v>-4.25</v>
      </c>
      <c r="H1170">
        <v>-4.25</v>
      </c>
      <c r="L1170" t="s">
        <v>7330</v>
      </c>
      <c r="M1170" t="s">
        <v>7330</v>
      </c>
      <c r="N1170">
        <v>35</v>
      </c>
      <c r="P1170">
        <v>0</v>
      </c>
      <c r="Q1170">
        <v>35</v>
      </c>
      <c r="R1170" t="s">
        <v>7329</v>
      </c>
      <c r="S1170">
        <v>0</v>
      </c>
    </row>
    <row r="1171" spans="1:19">
      <c r="A1171" t="s">
        <v>7334</v>
      </c>
      <c r="B1171">
        <v>103</v>
      </c>
      <c r="C1171" t="s">
        <v>7328</v>
      </c>
      <c r="D1171" t="s">
        <v>9128</v>
      </c>
      <c r="E1171" t="s">
        <v>9145</v>
      </c>
      <c r="F1171" t="s">
        <v>7296</v>
      </c>
      <c r="G1171">
        <v>-4.5</v>
      </c>
      <c r="H1171">
        <v>-4.5</v>
      </c>
      <c r="L1171" t="s">
        <v>7330</v>
      </c>
      <c r="M1171" t="s">
        <v>7330</v>
      </c>
      <c r="N1171">
        <v>34</v>
      </c>
      <c r="P1171">
        <v>0</v>
      </c>
      <c r="Q1171">
        <v>34</v>
      </c>
      <c r="R1171" t="s">
        <v>7329</v>
      </c>
      <c r="S1171">
        <v>0</v>
      </c>
    </row>
    <row r="1172" spans="1:19">
      <c r="A1172" t="s">
        <v>7334</v>
      </c>
      <c r="B1172">
        <v>103</v>
      </c>
      <c r="C1172" t="s">
        <v>7328</v>
      </c>
      <c r="D1172" t="s">
        <v>9128</v>
      </c>
      <c r="E1172" t="s">
        <v>9146</v>
      </c>
      <c r="F1172" t="s">
        <v>7296</v>
      </c>
      <c r="G1172">
        <v>-4.75</v>
      </c>
      <c r="H1172">
        <v>-4.75</v>
      </c>
      <c r="L1172" t="s">
        <v>7330</v>
      </c>
      <c r="M1172" t="s">
        <v>7330</v>
      </c>
      <c r="N1172">
        <v>7</v>
      </c>
      <c r="P1172">
        <v>0</v>
      </c>
      <c r="Q1172">
        <v>7</v>
      </c>
      <c r="R1172" t="s">
        <v>7329</v>
      </c>
      <c r="S1172">
        <v>0</v>
      </c>
    </row>
    <row r="1173" spans="1:19">
      <c r="A1173" t="s">
        <v>7334</v>
      </c>
      <c r="B1173">
        <v>103</v>
      </c>
      <c r="C1173" t="s">
        <v>7328</v>
      </c>
      <c r="D1173" t="s">
        <v>9128</v>
      </c>
      <c r="E1173" t="s">
        <v>9147</v>
      </c>
      <c r="F1173" t="s">
        <v>7296</v>
      </c>
      <c r="G1173">
        <v>-5.5</v>
      </c>
      <c r="H1173">
        <v>-5.5</v>
      </c>
      <c r="L1173" t="s">
        <v>7330</v>
      </c>
      <c r="M1173" t="s">
        <v>7330</v>
      </c>
      <c r="N1173">
        <v>218</v>
      </c>
      <c r="P1173">
        <v>0</v>
      </c>
      <c r="Q1173">
        <v>218</v>
      </c>
      <c r="R1173" t="s">
        <v>7329</v>
      </c>
      <c r="S1173">
        <v>0</v>
      </c>
    </row>
    <row r="1174" spans="1:19">
      <c r="A1174" t="s">
        <v>7334</v>
      </c>
      <c r="B1174">
        <v>103</v>
      </c>
      <c r="C1174" t="s">
        <v>7328</v>
      </c>
      <c r="D1174" t="s">
        <v>7357</v>
      </c>
      <c r="E1174" t="s">
        <v>7358</v>
      </c>
      <c r="F1174" t="s">
        <v>7359</v>
      </c>
      <c r="G1174">
        <v>0</v>
      </c>
      <c r="H1174">
        <v>0</v>
      </c>
      <c r="L1174" t="s">
        <v>7330</v>
      </c>
      <c r="M1174" t="s">
        <v>7330</v>
      </c>
      <c r="N1174">
        <v>252</v>
      </c>
      <c r="P1174">
        <v>252</v>
      </c>
      <c r="R1174" t="s">
        <v>7331</v>
      </c>
      <c r="S1174">
        <v>0</v>
      </c>
    </row>
    <row r="1175" spans="1:19">
      <c r="A1175" t="s">
        <v>7334</v>
      </c>
      <c r="B1175">
        <v>103</v>
      </c>
      <c r="C1175" t="s">
        <v>7328</v>
      </c>
      <c r="D1175" t="s">
        <v>7357</v>
      </c>
      <c r="E1175" t="s">
        <v>7493</v>
      </c>
      <c r="F1175" t="s">
        <v>7359</v>
      </c>
      <c r="G1175">
        <v>-1</v>
      </c>
      <c r="H1175">
        <v>-1</v>
      </c>
      <c r="L1175" t="s">
        <v>7330</v>
      </c>
      <c r="M1175" t="s">
        <v>7330</v>
      </c>
      <c r="N1175">
        <v>91</v>
      </c>
      <c r="P1175">
        <v>91</v>
      </c>
      <c r="R1175" t="s">
        <v>7331</v>
      </c>
      <c r="S1175">
        <v>0</v>
      </c>
    </row>
    <row r="1176" spans="1:19">
      <c r="A1176" t="s">
        <v>7334</v>
      </c>
      <c r="B1176">
        <v>103</v>
      </c>
      <c r="C1176" t="s">
        <v>7328</v>
      </c>
      <c r="D1176" t="s">
        <v>7357</v>
      </c>
      <c r="E1176" t="s">
        <v>7494</v>
      </c>
      <c r="F1176" t="s">
        <v>7359</v>
      </c>
      <c r="G1176">
        <v>-1.25</v>
      </c>
      <c r="H1176">
        <v>-1.25</v>
      </c>
      <c r="L1176" t="s">
        <v>7330</v>
      </c>
      <c r="M1176" t="s">
        <v>7330</v>
      </c>
      <c r="N1176">
        <v>63</v>
      </c>
      <c r="P1176">
        <v>63</v>
      </c>
      <c r="R1176" t="s">
        <v>7331</v>
      </c>
      <c r="S1176">
        <v>0</v>
      </c>
    </row>
    <row r="1177" spans="1:19">
      <c r="A1177" t="s">
        <v>7334</v>
      </c>
      <c r="B1177">
        <v>103</v>
      </c>
      <c r="C1177" t="s">
        <v>7328</v>
      </c>
      <c r="D1177" t="s">
        <v>7357</v>
      </c>
      <c r="E1177" t="s">
        <v>7360</v>
      </c>
      <c r="F1177" t="s">
        <v>7359</v>
      </c>
      <c r="G1177">
        <v>-1.5</v>
      </c>
      <c r="H1177">
        <v>-1.5</v>
      </c>
      <c r="L1177" t="s">
        <v>7330</v>
      </c>
      <c r="M1177" t="s">
        <v>7330</v>
      </c>
      <c r="N1177">
        <v>1</v>
      </c>
      <c r="P1177">
        <v>1</v>
      </c>
      <c r="R1177" t="s">
        <v>7331</v>
      </c>
      <c r="S1177">
        <v>0</v>
      </c>
    </row>
    <row r="1178" spans="1:19">
      <c r="A1178" t="s">
        <v>7334</v>
      </c>
      <c r="B1178">
        <v>103</v>
      </c>
      <c r="C1178" t="s">
        <v>7328</v>
      </c>
      <c r="D1178" t="s">
        <v>7357</v>
      </c>
      <c r="E1178" t="s">
        <v>7495</v>
      </c>
      <c r="F1178" t="s">
        <v>7359</v>
      </c>
      <c r="G1178">
        <v>-1.75</v>
      </c>
      <c r="H1178">
        <v>-1.75</v>
      </c>
      <c r="L1178" t="s">
        <v>7330</v>
      </c>
      <c r="M1178" t="s">
        <v>7330</v>
      </c>
      <c r="N1178">
        <v>66</v>
      </c>
      <c r="P1178">
        <v>66</v>
      </c>
      <c r="R1178" t="s">
        <v>7331</v>
      </c>
      <c r="S1178">
        <v>0</v>
      </c>
    </row>
    <row r="1179" spans="1:19">
      <c r="A1179" t="s">
        <v>7334</v>
      </c>
      <c r="B1179">
        <v>103</v>
      </c>
      <c r="C1179" t="s">
        <v>7328</v>
      </c>
      <c r="D1179" t="s">
        <v>7357</v>
      </c>
      <c r="E1179" t="s">
        <v>7496</v>
      </c>
      <c r="F1179" t="s">
        <v>7359</v>
      </c>
      <c r="G1179">
        <v>-2</v>
      </c>
      <c r="H1179">
        <v>-2</v>
      </c>
      <c r="L1179" t="s">
        <v>7330</v>
      </c>
      <c r="M1179" t="s">
        <v>7330</v>
      </c>
      <c r="N1179">
        <v>1</v>
      </c>
      <c r="P1179">
        <v>1</v>
      </c>
      <c r="R1179" t="s">
        <v>7331</v>
      </c>
      <c r="S1179">
        <v>0</v>
      </c>
    </row>
    <row r="1180" spans="1:19">
      <c r="A1180" t="s">
        <v>7334</v>
      </c>
      <c r="B1180">
        <v>103</v>
      </c>
      <c r="C1180" t="s">
        <v>7328</v>
      </c>
      <c r="D1180" t="s">
        <v>7357</v>
      </c>
      <c r="E1180" t="s">
        <v>9166</v>
      </c>
      <c r="F1180" t="s">
        <v>7359</v>
      </c>
      <c r="G1180">
        <v>-2.25</v>
      </c>
      <c r="H1180">
        <v>-2.25</v>
      </c>
      <c r="L1180" t="s">
        <v>7330</v>
      </c>
      <c r="M1180" t="s">
        <v>7330</v>
      </c>
      <c r="N1180">
        <v>1</v>
      </c>
      <c r="P1180">
        <v>1</v>
      </c>
      <c r="R1180" t="s">
        <v>7331</v>
      </c>
      <c r="S1180">
        <v>0</v>
      </c>
    </row>
    <row r="1181" spans="1:19">
      <c r="A1181" t="s">
        <v>7334</v>
      </c>
      <c r="B1181">
        <v>103</v>
      </c>
      <c r="C1181" t="s">
        <v>7328</v>
      </c>
      <c r="D1181" t="s">
        <v>7357</v>
      </c>
      <c r="E1181" t="s">
        <v>7497</v>
      </c>
      <c r="F1181" t="s">
        <v>7359</v>
      </c>
      <c r="G1181">
        <v>-2.5</v>
      </c>
      <c r="H1181">
        <v>-2.5</v>
      </c>
      <c r="L1181" t="s">
        <v>7330</v>
      </c>
      <c r="M1181" t="s">
        <v>7330</v>
      </c>
      <c r="N1181">
        <v>4</v>
      </c>
      <c r="P1181">
        <v>4</v>
      </c>
      <c r="R1181" t="s">
        <v>7331</v>
      </c>
      <c r="S1181">
        <v>0</v>
      </c>
    </row>
    <row r="1182" spans="1:19">
      <c r="A1182" t="s">
        <v>7334</v>
      </c>
      <c r="B1182">
        <v>103</v>
      </c>
      <c r="C1182" t="s">
        <v>7328</v>
      </c>
      <c r="D1182" t="s">
        <v>7357</v>
      </c>
      <c r="E1182" t="s">
        <v>7498</v>
      </c>
      <c r="F1182" t="s">
        <v>7359</v>
      </c>
      <c r="G1182">
        <v>-2.75</v>
      </c>
      <c r="H1182">
        <v>-2.75</v>
      </c>
      <c r="L1182" t="s">
        <v>7330</v>
      </c>
      <c r="M1182" t="s">
        <v>7330</v>
      </c>
      <c r="N1182">
        <v>45</v>
      </c>
      <c r="P1182">
        <v>45</v>
      </c>
      <c r="R1182" t="s">
        <v>7331</v>
      </c>
      <c r="S1182">
        <v>0</v>
      </c>
    </row>
    <row r="1183" spans="1:19">
      <c r="A1183" t="s">
        <v>7334</v>
      </c>
      <c r="B1183">
        <v>103</v>
      </c>
      <c r="C1183" t="s">
        <v>7328</v>
      </c>
      <c r="D1183" t="s">
        <v>7357</v>
      </c>
      <c r="E1183" t="s">
        <v>7361</v>
      </c>
      <c r="F1183" t="s">
        <v>7359</v>
      </c>
      <c r="G1183">
        <v>-3</v>
      </c>
      <c r="H1183">
        <v>-3</v>
      </c>
      <c r="L1183" t="s">
        <v>7330</v>
      </c>
      <c r="M1183" t="s">
        <v>7330</v>
      </c>
      <c r="N1183">
        <v>138</v>
      </c>
      <c r="P1183">
        <v>138</v>
      </c>
      <c r="R1183" t="s">
        <v>7331</v>
      </c>
      <c r="S1183">
        <v>0</v>
      </c>
    </row>
    <row r="1184" spans="1:19">
      <c r="A1184" t="s">
        <v>7334</v>
      </c>
      <c r="B1184">
        <v>103</v>
      </c>
      <c r="C1184" t="s">
        <v>7328</v>
      </c>
      <c r="D1184" t="s">
        <v>7357</v>
      </c>
      <c r="E1184" t="s">
        <v>7499</v>
      </c>
      <c r="F1184" t="s">
        <v>7359</v>
      </c>
      <c r="G1184">
        <v>-3.25</v>
      </c>
      <c r="H1184">
        <v>-3.25</v>
      </c>
      <c r="L1184" t="s">
        <v>7330</v>
      </c>
      <c r="M1184" t="s">
        <v>7330</v>
      </c>
      <c r="N1184">
        <v>34</v>
      </c>
      <c r="P1184">
        <v>34</v>
      </c>
      <c r="R1184" t="s">
        <v>7331</v>
      </c>
      <c r="S1184">
        <v>0</v>
      </c>
    </row>
    <row r="1185" spans="1:19">
      <c r="A1185" t="s">
        <v>7334</v>
      </c>
      <c r="B1185">
        <v>103</v>
      </c>
      <c r="C1185" t="s">
        <v>7328</v>
      </c>
      <c r="D1185" t="s">
        <v>7357</v>
      </c>
      <c r="E1185" t="s">
        <v>7362</v>
      </c>
      <c r="F1185" t="s">
        <v>7359</v>
      </c>
      <c r="G1185">
        <v>-3.5</v>
      </c>
      <c r="H1185">
        <v>-3.5</v>
      </c>
      <c r="L1185" t="s">
        <v>7330</v>
      </c>
      <c r="M1185" t="s">
        <v>7330</v>
      </c>
      <c r="N1185">
        <v>155</v>
      </c>
      <c r="P1185">
        <v>155</v>
      </c>
      <c r="R1185" t="s">
        <v>7331</v>
      </c>
      <c r="S1185">
        <v>0</v>
      </c>
    </row>
    <row r="1186" spans="1:19">
      <c r="A1186" t="s">
        <v>7334</v>
      </c>
      <c r="B1186">
        <v>103</v>
      </c>
      <c r="C1186" t="s">
        <v>7328</v>
      </c>
      <c r="D1186" t="s">
        <v>7357</v>
      </c>
      <c r="E1186" t="s">
        <v>7500</v>
      </c>
      <c r="F1186" t="s">
        <v>7359</v>
      </c>
      <c r="G1186">
        <v>-3.75</v>
      </c>
      <c r="H1186">
        <v>-3.75</v>
      </c>
      <c r="L1186" t="s">
        <v>7330</v>
      </c>
      <c r="M1186" t="s">
        <v>7330</v>
      </c>
      <c r="N1186">
        <v>15</v>
      </c>
      <c r="P1186">
        <v>15</v>
      </c>
      <c r="R1186" t="s">
        <v>7331</v>
      </c>
      <c r="S1186">
        <v>0</v>
      </c>
    </row>
    <row r="1187" spans="1:19">
      <c r="A1187" t="s">
        <v>7334</v>
      </c>
      <c r="B1187">
        <v>103</v>
      </c>
      <c r="C1187" t="s">
        <v>7328</v>
      </c>
      <c r="D1187" t="s">
        <v>7357</v>
      </c>
      <c r="E1187" t="s">
        <v>7363</v>
      </c>
      <c r="F1187" t="s">
        <v>7359</v>
      </c>
      <c r="G1187">
        <v>-4.25</v>
      </c>
      <c r="H1187">
        <v>-4.25</v>
      </c>
      <c r="L1187" t="s">
        <v>7330</v>
      </c>
      <c r="M1187" t="s">
        <v>7330</v>
      </c>
      <c r="N1187" s="501">
        <v>180</v>
      </c>
      <c r="P1187">
        <v>180</v>
      </c>
      <c r="R1187" t="s">
        <v>7331</v>
      </c>
      <c r="S1187">
        <v>0</v>
      </c>
    </row>
    <row r="1188" spans="1:19">
      <c r="A1188" t="s">
        <v>7334</v>
      </c>
      <c r="B1188">
        <v>103</v>
      </c>
      <c r="C1188" t="s">
        <v>7328</v>
      </c>
      <c r="D1188" t="s">
        <v>7357</v>
      </c>
      <c r="E1188" t="s">
        <v>7501</v>
      </c>
      <c r="F1188" t="s">
        <v>7359</v>
      </c>
      <c r="G1188">
        <v>-4.5</v>
      </c>
      <c r="H1188">
        <v>-4.5</v>
      </c>
      <c r="L1188" t="s">
        <v>7330</v>
      </c>
      <c r="M1188" t="s">
        <v>7330</v>
      </c>
      <c r="N1188" s="501">
        <v>43</v>
      </c>
      <c r="P1188">
        <v>43</v>
      </c>
      <c r="Q1188" s="501"/>
      <c r="R1188" t="s">
        <v>7331</v>
      </c>
      <c r="S1188">
        <v>0</v>
      </c>
    </row>
    <row r="1189" spans="1:19">
      <c r="A1189" t="s">
        <v>7334</v>
      </c>
      <c r="B1189">
        <v>103</v>
      </c>
      <c r="C1189" t="s">
        <v>7328</v>
      </c>
      <c r="D1189" t="s">
        <v>7357</v>
      </c>
      <c r="E1189" t="s">
        <v>7364</v>
      </c>
      <c r="F1189" t="s">
        <v>7359</v>
      </c>
      <c r="G1189">
        <v>-4.75</v>
      </c>
      <c r="H1189">
        <v>-4.75</v>
      </c>
      <c r="L1189" t="s">
        <v>7330</v>
      </c>
      <c r="M1189" t="s">
        <v>7330</v>
      </c>
      <c r="N1189" s="501">
        <v>151</v>
      </c>
      <c r="P1189">
        <v>151</v>
      </c>
      <c r="Q1189" s="501"/>
      <c r="R1189" t="s">
        <v>7331</v>
      </c>
      <c r="S1189">
        <v>0</v>
      </c>
    </row>
    <row r="1190" spans="1:19">
      <c r="A1190" t="s">
        <v>7334</v>
      </c>
      <c r="B1190">
        <v>103</v>
      </c>
      <c r="C1190" t="s">
        <v>7328</v>
      </c>
      <c r="D1190" t="s">
        <v>7357</v>
      </c>
      <c r="E1190" t="s">
        <v>7502</v>
      </c>
      <c r="F1190" t="s">
        <v>7359</v>
      </c>
      <c r="G1190">
        <v>-5</v>
      </c>
      <c r="H1190">
        <v>-5</v>
      </c>
      <c r="L1190" t="s">
        <v>7330</v>
      </c>
      <c r="M1190" t="s">
        <v>7330</v>
      </c>
      <c r="N1190" s="501">
        <v>2</v>
      </c>
      <c r="P1190">
        <v>2</v>
      </c>
      <c r="R1190" t="s">
        <v>7331</v>
      </c>
      <c r="S1190">
        <v>0</v>
      </c>
    </row>
    <row r="1191" spans="1:19">
      <c r="A1191" t="s">
        <v>7334</v>
      </c>
      <c r="B1191">
        <v>103</v>
      </c>
      <c r="C1191" t="s">
        <v>7328</v>
      </c>
      <c r="D1191" t="s">
        <v>7357</v>
      </c>
      <c r="E1191" t="s">
        <v>7503</v>
      </c>
      <c r="F1191" t="s">
        <v>7359</v>
      </c>
      <c r="G1191">
        <v>-5.5</v>
      </c>
      <c r="H1191">
        <v>-5.5</v>
      </c>
      <c r="L1191" t="s">
        <v>7330</v>
      </c>
      <c r="M1191" t="s">
        <v>7330</v>
      </c>
      <c r="N1191" s="501">
        <v>2</v>
      </c>
      <c r="P1191">
        <v>2</v>
      </c>
      <c r="R1191" t="s">
        <v>7331</v>
      </c>
      <c r="S1191">
        <v>0</v>
      </c>
    </row>
    <row r="1192" spans="1:19">
      <c r="A1192" t="s">
        <v>7334</v>
      </c>
      <c r="B1192">
        <v>103</v>
      </c>
      <c r="C1192" t="s">
        <v>7328</v>
      </c>
      <c r="D1192" t="s">
        <v>7357</v>
      </c>
      <c r="E1192" t="s">
        <v>7504</v>
      </c>
      <c r="F1192" t="s">
        <v>7359</v>
      </c>
      <c r="G1192">
        <v>-6</v>
      </c>
      <c r="H1192">
        <v>-6</v>
      </c>
      <c r="L1192" t="s">
        <v>7330</v>
      </c>
      <c r="M1192" t="s">
        <v>7330</v>
      </c>
      <c r="N1192" s="501">
        <v>113</v>
      </c>
      <c r="P1192">
        <v>113</v>
      </c>
      <c r="Q1192" s="501"/>
      <c r="R1192" t="s">
        <v>7331</v>
      </c>
      <c r="S1192">
        <v>0</v>
      </c>
    </row>
    <row r="1193" spans="1:19">
      <c r="A1193" t="s">
        <v>7334</v>
      </c>
      <c r="B1193">
        <v>103</v>
      </c>
      <c r="C1193" t="s">
        <v>7328</v>
      </c>
      <c r="D1193" t="s">
        <v>7357</v>
      </c>
      <c r="E1193" t="s">
        <v>7505</v>
      </c>
      <c r="F1193" t="s">
        <v>7359</v>
      </c>
      <c r="G1193">
        <v>-6.5</v>
      </c>
      <c r="H1193">
        <v>-6.5</v>
      </c>
      <c r="L1193" t="s">
        <v>7330</v>
      </c>
      <c r="M1193" t="s">
        <v>7330</v>
      </c>
      <c r="N1193" s="501">
        <v>20</v>
      </c>
      <c r="P1193">
        <v>20</v>
      </c>
      <c r="R1193" t="s">
        <v>7331</v>
      </c>
      <c r="S1193">
        <v>0</v>
      </c>
    </row>
    <row r="1194" spans="1:19">
      <c r="A1194" t="s">
        <v>7334</v>
      </c>
      <c r="B1194">
        <v>103</v>
      </c>
      <c r="C1194" t="s">
        <v>7328</v>
      </c>
      <c r="D1194" t="s">
        <v>7357</v>
      </c>
      <c r="E1194" t="s">
        <v>7365</v>
      </c>
      <c r="F1194" t="s">
        <v>7359</v>
      </c>
      <c r="G1194">
        <v>-7</v>
      </c>
      <c r="H1194">
        <v>-7</v>
      </c>
      <c r="L1194" t="s">
        <v>7330</v>
      </c>
      <c r="M1194" t="s">
        <v>7330</v>
      </c>
      <c r="N1194" s="501">
        <v>45</v>
      </c>
      <c r="P1194">
        <v>45</v>
      </c>
      <c r="R1194" t="s">
        <v>7331</v>
      </c>
      <c r="S1194">
        <v>0</v>
      </c>
    </row>
    <row r="1195" spans="1:19">
      <c r="A1195" t="s">
        <v>7334</v>
      </c>
      <c r="B1195">
        <v>103</v>
      </c>
      <c r="C1195" t="s">
        <v>7328</v>
      </c>
      <c r="D1195" t="s">
        <v>7357</v>
      </c>
      <c r="E1195" t="s">
        <v>7506</v>
      </c>
      <c r="F1195" t="s">
        <v>7359</v>
      </c>
      <c r="G1195">
        <v>-7.5</v>
      </c>
      <c r="H1195">
        <v>-7.5</v>
      </c>
      <c r="L1195" t="s">
        <v>7330</v>
      </c>
      <c r="M1195" t="s">
        <v>7330</v>
      </c>
      <c r="N1195" s="501">
        <v>12</v>
      </c>
      <c r="P1195">
        <v>12</v>
      </c>
      <c r="R1195" t="s">
        <v>7331</v>
      </c>
      <c r="S1195">
        <v>0</v>
      </c>
    </row>
    <row r="1196" spans="1:19">
      <c r="A1196" t="s">
        <v>7334</v>
      </c>
      <c r="B1196">
        <v>103</v>
      </c>
      <c r="C1196" t="s">
        <v>7328</v>
      </c>
      <c r="D1196" t="s">
        <v>7357</v>
      </c>
      <c r="E1196" t="s">
        <v>7507</v>
      </c>
      <c r="F1196" t="s">
        <v>7359</v>
      </c>
      <c r="G1196">
        <v>-8</v>
      </c>
      <c r="H1196">
        <v>-8</v>
      </c>
      <c r="L1196" t="s">
        <v>7330</v>
      </c>
      <c r="M1196" t="s">
        <v>7330</v>
      </c>
      <c r="N1196" s="501">
        <v>2</v>
      </c>
      <c r="O1196">
        <v>2</v>
      </c>
      <c r="P1196">
        <v>3</v>
      </c>
      <c r="Q1196">
        <v>1</v>
      </c>
      <c r="R1196" t="s">
        <v>7331</v>
      </c>
      <c r="S1196">
        <v>0</v>
      </c>
    </row>
    <row r="1197" spans="1:19">
      <c r="A1197" t="s">
        <v>7334</v>
      </c>
      <c r="B1197">
        <v>103</v>
      </c>
      <c r="C1197" t="s">
        <v>7328</v>
      </c>
      <c r="D1197" t="s">
        <v>7366</v>
      </c>
      <c r="E1197" t="s">
        <v>7368</v>
      </c>
      <c r="F1197" t="s">
        <v>7367</v>
      </c>
      <c r="G1197">
        <v>-1</v>
      </c>
      <c r="H1197">
        <v>-1</v>
      </c>
      <c r="L1197" t="s">
        <v>7330</v>
      </c>
      <c r="M1197" t="s">
        <v>7330</v>
      </c>
      <c r="N1197" s="501">
        <v>183</v>
      </c>
      <c r="O1197">
        <v>1</v>
      </c>
      <c r="P1197">
        <v>184</v>
      </c>
      <c r="R1197" t="s">
        <v>7331</v>
      </c>
      <c r="S1197">
        <v>0</v>
      </c>
    </row>
    <row r="1198" spans="1:19">
      <c r="A1198" t="s">
        <v>7334</v>
      </c>
      <c r="B1198">
        <v>103</v>
      </c>
      <c r="C1198" t="s">
        <v>7328</v>
      </c>
      <c r="D1198" t="s">
        <v>7366</v>
      </c>
      <c r="E1198" t="s">
        <v>7531</v>
      </c>
      <c r="F1198" t="s">
        <v>7367</v>
      </c>
      <c r="G1198">
        <v>-1.25</v>
      </c>
      <c r="H1198">
        <v>-1.25</v>
      </c>
      <c r="L1198" t="s">
        <v>7330</v>
      </c>
      <c r="M1198" t="s">
        <v>7330</v>
      </c>
      <c r="N1198" s="501">
        <v>1</v>
      </c>
      <c r="P1198">
        <v>1</v>
      </c>
      <c r="R1198" t="s">
        <v>7331</v>
      </c>
      <c r="S1198">
        <v>0</v>
      </c>
    </row>
    <row r="1199" spans="1:19">
      <c r="A1199" t="s">
        <v>7334</v>
      </c>
      <c r="B1199">
        <v>103</v>
      </c>
      <c r="C1199" t="s">
        <v>7328</v>
      </c>
      <c r="D1199" t="s">
        <v>7366</v>
      </c>
      <c r="E1199" t="s">
        <v>7532</v>
      </c>
      <c r="F1199" t="s">
        <v>7367</v>
      </c>
      <c r="G1199">
        <v>-1.5</v>
      </c>
      <c r="H1199">
        <v>-1.5</v>
      </c>
      <c r="L1199" t="s">
        <v>7330</v>
      </c>
      <c r="M1199" t="s">
        <v>7330</v>
      </c>
      <c r="N1199" s="501">
        <v>1</v>
      </c>
      <c r="P1199">
        <v>1</v>
      </c>
      <c r="R1199" t="s">
        <v>7331</v>
      </c>
      <c r="S1199">
        <v>0</v>
      </c>
    </row>
    <row r="1200" spans="1:19">
      <c r="A1200" t="s">
        <v>7334</v>
      </c>
      <c r="B1200">
        <v>103</v>
      </c>
      <c r="C1200" t="s">
        <v>7328</v>
      </c>
      <c r="D1200" t="s">
        <v>7366</v>
      </c>
      <c r="E1200" t="s">
        <v>7533</v>
      </c>
      <c r="F1200" t="s">
        <v>7367</v>
      </c>
      <c r="G1200">
        <v>-1.75</v>
      </c>
      <c r="H1200">
        <v>-1.75</v>
      </c>
      <c r="L1200" t="s">
        <v>7330</v>
      </c>
      <c r="M1200" t="s">
        <v>7330</v>
      </c>
      <c r="N1200" s="501">
        <v>2</v>
      </c>
      <c r="P1200">
        <v>2</v>
      </c>
      <c r="R1200" t="s">
        <v>7331</v>
      </c>
      <c r="S1200">
        <v>0</v>
      </c>
    </row>
    <row r="1201" spans="1:19">
      <c r="A1201" t="s">
        <v>7334</v>
      </c>
      <c r="B1201">
        <v>103</v>
      </c>
      <c r="C1201" t="s">
        <v>7328</v>
      </c>
      <c r="D1201" t="s">
        <v>7366</v>
      </c>
      <c r="E1201" t="s">
        <v>7369</v>
      </c>
      <c r="F1201" t="s">
        <v>7367</v>
      </c>
      <c r="G1201">
        <v>-2</v>
      </c>
      <c r="H1201">
        <v>-2</v>
      </c>
      <c r="L1201" t="s">
        <v>7330</v>
      </c>
      <c r="M1201" t="s">
        <v>7330</v>
      </c>
      <c r="N1201" s="501">
        <v>1</v>
      </c>
      <c r="P1201">
        <v>1</v>
      </c>
      <c r="R1201" t="s">
        <v>7331</v>
      </c>
      <c r="S1201">
        <v>0</v>
      </c>
    </row>
    <row r="1202" spans="1:19">
      <c r="A1202" t="s">
        <v>7334</v>
      </c>
      <c r="B1202">
        <v>103</v>
      </c>
      <c r="C1202" t="s">
        <v>7328</v>
      </c>
      <c r="D1202" t="s">
        <v>7366</v>
      </c>
      <c r="E1202" t="s">
        <v>7534</v>
      </c>
      <c r="F1202" t="s">
        <v>7367</v>
      </c>
      <c r="G1202">
        <v>-2.25</v>
      </c>
      <c r="H1202">
        <v>-2.25</v>
      </c>
      <c r="L1202" t="s">
        <v>7330</v>
      </c>
      <c r="M1202" t="s">
        <v>7330</v>
      </c>
      <c r="N1202" s="501">
        <v>2</v>
      </c>
      <c r="P1202">
        <v>2</v>
      </c>
      <c r="R1202" t="s">
        <v>7331</v>
      </c>
      <c r="S1202">
        <v>0</v>
      </c>
    </row>
    <row r="1203" spans="1:19">
      <c r="A1203" t="s">
        <v>7334</v>
      </c>
      <c r="B1203">
        <v>103</v>
      </c>
      <c r="C1203" t="s">
        <v>7328</v>
      </c>
      <c r="D1203" t="s">
        <v>7366</v>
      </c>
      <c r="E1203" t="s">
        <v>7370</v>
      </c>
      <c r="F1203" t="s">
        <v>7367</v>
      </c>
      <c r="G1203">
        <v>-2.5</v>
      </c>
      <c r="H1203">
        <v>-2.5</v>
      </c>
      <c r="L1203" t="s">
        <v>7330</v>
      </c>
      <c r="M1203" t="s">
        <v>7330</v>
      </c>
      <c r="N1203" s="501">
        <v>208</v>
      </c>
      <c r="P1203">
        <v>208</v>
      </c>
      <c r="R1203" t="s">
        <v>7331</v>
      </c>
      <c r="S1203">
        <v>0</v>
      </c>
    </row>
    <row r="1204" spans="1:19">
      <c r="A1204" t="s">
        <v>7334</v>
      </c>
      <c r="B1204">
        <v>103</v>
      </c>
      <c r="C1204" t="s">
        <v>7328</v>
      </c>
      <c r="D1204" t="s">
        <v>7366</v>
      </c>
      <c r="E1204" t="s">
        <v>7535</v>
      </c>
      <c r="F1204" t="s">
        <v>7367</v>
      </c>
      <c r="G1204">
        <v>-2.75</v>
      </c>
      <c r="H1204">
        <v>-2.75</v>
      </c>
      <c r="L1204" t="s">
        <v>7330</v>
      </c>
      <c r="M1204" t="s">
        <v>7330</v>
      </c>
      <c r="N1204" s="501">
        <v>2</v>
      </c>
      <c r="P1204">
        <v>2</v>
      </c>
      <c r="R1204" t="s">
        <v>7331</v>
      </c>
      <c r="S1204">
        <v>0</v>
      </c>
    </row>
    <row r="1205" spans="1:19">
      <c r="A1205" t="s">
        <v>7334</v>
      </c>
      <c r="B1205">
        <v>103</v>
      </c>
      <c r="C1205" t="s">
        <v>7328</v>
      </c>
      <c r="D1205" t="s">
        <v>7366</v>
      </c>
      <c r="E1205" t="s">
        <v>7536</v>
      </c>
      <c r="F1205" t="s">
        <v>7367</v>
      </c>
      <c r="G1205">
        <v>-3</v>
      </c>
      <c r="H1205">
        <v>-3</v>
      </c>
      <c r="L1205" t="s">
        <v>7330</v>
      </c>
      <c r="M1205" t="s">
        <v>7330</v>
      </c>
      <c r="N1205" s="501">
        <v>2</v>
      </c>
      <c r="P1205">
        <v>2</v>
      </c>
      <c r="R1205" t="s">
        <v>7331</v>
      </c>
      <c r="S1205">
        <v>0</v>
      </c>
    </row>
    <row r="1206" spans="1:19">
      <c r="A1206" t="s">
        <v>7334</v>
      </c>
      <c r="B1206">
        <v>103</v>
      </c>
      <c r="C1206" t="s">
        <v>7328</v>
      </c>
      <c r="D1206" t="s">
        <v>7366</v>
      </c>
      <c r="E1206" t="s">
        <v>7537</v>
      </c>
      <c r="F1206" t="s">
        <v>7367</v>
      </c>
      <c r="G1206">
        <v>-3.25</v>
      </c>
      <c r="H1206">
        <v>-3.25</v>
      </c>
      <c r="L1206" t="s">
        <v>7330</v>
      </c>
      <c r="M1206" t="s">
        <v>7330</v>
      </c>
      <c r="N1206" s="501">
        <v>2</v>
      </c>
      <c r="P1206">
        <v>2</v>
      </c>
      <c r="R1206" t="s">
        <v>7331</v>
      </c>
      <c r="S1206">
        <v>0</v>
      </c>
    </row>
    <row r="1207" spans="1:19">
      <c r="A1207" t="s">
        <v>7334</v>
      </c>
      <c r="B1207">
        <v>103</v>
      </c>
      <c r="C1207" t="s">
        <v>7328</v>
      </c>
      <c r="D1207" t="s">
        <v>7366</v>
      </c>
      <c r="E1207" t="s">
        <v>9167</v>
      </c>
      <c r="F1207" t="s">
        <v>7367</v>
      </c>
      <c r="G1207">
        <v>-3.5</v>
      </c>
      <c r="H1207">
        <v>-3.5</v>
      </c>
      <c r="L1207" t="s">
        <v>7330</v>
      </c>
      <c r="M1207" t="s">
        <v>7330</v>
      </c>
      <c r="N1207" s="501">
        <v>1</v>
      </c>
      <c r="P1207">
        <v>1</v>
      </c>
      <c r="R1207" t="s">
        <v>7331</v>
      </c>
      <c r="S1207">
        <v>0</v>
      </c>
    </row>
    <row r="1208" spans="1:19">
      <c r="A1208" t="s">
        <v>7334</v>
      </c>
      <c r="B1208">
        <v>103</v>
      </c>
      <c r="C1208" t="s">
        <v>7328</v>
      </c>
      <c r="D1208" t="s">
        <v>7366</v>
      </c>
      <c r="E1208" t="s">
        <v>7538</v>
      </c>
      <c r="F1208" t="s">
        <v>7367</v>
      </c>
      <c r="G1208">
        <v>-3.75</v>
      </c>
      <c r="H1208">
        <v>-3.75</v>
      </c>
      <c r="L1208" t="s">
        <v>7330</v>
      </c>
      <c r="M1208" t="s">
        <v>7330</v>
      </c>
      <c r="N1208" s="501">
        <v>10</v>
      </c>
      <c r="P1208">
        <v>10</v>
      </c>
      <c r="R1208" t="s">
        <v>7331</v>
      </c>
      <c r="S1208">
        <v>0</v>
      </c>
    </row>
    <row r="1209" spans="1:19">
      <c r="A1209" t="s">
        <v>7334</v>
      </c>
      <c r="B1209">
        <v>103</v>
      </c>
      <c r="C1209" t="s">
        <v>7328</v>
      </c>
      <c r="D1209" t="s">
        <v>7366</v>
      </c>
      <c r="E1209" t="s">
        <v>7371</v>
      </c>
      <c r="F1209" t="s">
        <v>7367</v>
      </c>
      <c r="G1209">
        <v>-4</v>
      </c>
      <c r="H1209">
        <v>-4</v>
      </c>
      <c r="L1209" t="s">
        <v>7330</v>
      </c>
      <c r="M1209" t="s">
        <v>7330</v>
      </c>
      <c r="N1209" s="501">
        <v>204</v>
      </c>
      <c r="P1209">
        <v>204</v>
      </c>
      <c r="R1209" t="s">
        <v>7331</v>
      </c>
      <c r="S1209">
        <v>0</v>
      </c>
    </row>
    <row r="1210" spans="1:19">
      <c r="A1210" t="s">
        <v>7334</v>
      </c>
      <c r="B1210">
        <v>103</v>
      </c>
      <c r="C1210" t="s">
        <v>7328</v>
      </c>
      <c r="D1210" t="s">
        <v>7366</v>
      </c>
      <c r="E1210" t="s">
        <v>7372</v>
      </c>
      <c r="F1210" t="s">
        <v>7367</v>
      </c>
      <c r="G1210">
        <v>-4.25</v>
      </c>
      <c r="H1210">
        <v>-4.25</v>
      </c>
      <c r="L1210" t="s">
        <v>7330</v>
      </c>
      <c r="M1210" t="s">
        <v>7330</v>
      </c>
      <c r="N1210" s="501">
        <v>1</v>
      </c>
      <c r="P1210">
        <v>1</v>
      </c>
      <c r="R1210" t="s">
        <v>7331</v>
      </c>
      <c r="S1210">
        <v>0</v>
      </c>
    </row>
    <row r="1211" spans="1:19">
      <c r="A1211" t="s">
        <v>7334</v>
      </c>
      <c r="B1211">
        <v>103</v>
      </c>
      <c r="C1211" t="s">
        <v>7328</v>
      </c>
      <c r="D1211" t="s">
        <v>7366</v>
      </c>
      <c r="E1211" t="s">
        <v>7373</v>
      </c>
      <c r="F1211" t="s">
        <v>7367</v>
      </c>
      <c r="G1211">
        <v>-4.5</v>
      </c>
      <c r="H1211">
        <v>-4.5</v>
      </c>
      <c r="L1211" t="s">
        <v>7330</v>
      </c>
      <c r="M1211" t="s">
        <v>7330</v>
      </c>
      <c r="N1211" s="501">
        <v>170</v>
      </c>
      <c r="P1211">
        <v>170</v>
      </c>
      <c r="R1211" t="s">
        <v>7331</v>
      </c>
      <c r="S1211">
        <v>0</v>
      </c>
    </row>
    <row r="1212" spans="1:19">
      <c r="A1212" t="s">
        <v>7334</v>
      </c>
      <c r="B1212">
        <v>103</v>
      </c>
      <c r="C1212" t="s">
        <v>7328</v>
      </c>
      <c r="D1212" t="s">
        <v>7366</v>
      </c>
      <c r="E1212" t="s">
        <v>7539</v>
      </c>
      <c r="F1212" t="s">
        <v>7367</v>
      </c>
      <c r="G1212">
        <v>-4.75</v>
      </c>
      <c r="H1212">
        <v>-4.75</v>
      </c>
      <c r="L1212" t="s">
        <v>7330</v>
      </c>
      <c r="M1212" t="s">
        <v>7330</v>
      </c>
      <c r="N1212" s="501">
        <v>6</v>
      </c>
      <c r="P1212">
        <v>6</v>
      </c>
      <c r="R1212" t="s">
        <v>7331</v>
      </c>
      <c r="S1212">
        <v>0</v>
      </c>
    </row>
    <row r="1213" spans="1:19">
      <c r="A1213" t="s">
        <v>7334</v>
      </c>
      <c r="B1213">
        <v>103</v>
      </c>
      <c r="C1213" t="s">
        <v>7328</v>
      </c>
      <c r="D1213" t="s">
        <v>7366</v>
      </c>
      <c r="E1213" t="s">
        <v>7374</v>
      </c>
      <c r="F1213" t="s">
        <v>7367</v>
      </c>
      <c r="G1213">
        <v>-5.5</v>
      </c>
      <c r="H1213">
        <v>-5.5</v>
      </c>
      <c r="L1213" t="s">
        <v>7330</v>
      </c>
      <c r="M1213" t="s">
        <v>7330</v>
      </c>
      <c r="N1213" s="501">
        <v>134</v>
      </c>
      <c r="P1213">
        <v>134</v>
      </c>
      <c r="R1213" t="s">
        <v>7331</v>
      </c>
      <c r="S1213">
        <v>0</v>
      </c>
    </row>
    <row r="1214" spans="1:19">
      <c r="A1214" t="s">
        <v>7334</v>
      </c>
      <c r="B1214">
        <v>103</v>
      </c>
      <c r="C1214" t="s">
        <v>7328</v>
      </c>
      <c r="D1214" t="s">
        <v>7366</v>
      </c>
      <c r="E1214" t="s">
        <v>7375</v>
      </c>
      <c r="F1214" t="s">
        <v>7367</v>
      </c>
      <c r="G1214">
        <v>-6</v>
      </c>
      <c r="H1214">
        <v>-6</v>
      </c>
      <c r="L1214" t="s">
        <v>7330</v>
      </c>
      <c r="M1214" t="s">
        <v>7330</v>
      </c>
      <c r="N1214" s="501">
        <v>42</v>
      </c>
      <c r="P1214">
        <v>42</v>
      </c>
      <c r="R1214" t="s">
        <v>7331</v>
      </c>
      <c r="S1214">
        <v>0</v>
      </c>
    </row>
    <row r="1215" spans="1:19">
      <c r="A1215" t="s">
        <v>7334</v>
      </c>
      <c r="B1215">
        <v>103</v>
      </c>
      <c r="C1215" t="s">
        <v>7328</v>
      </c>
      <c r="D1215" t="s">
        <v>7366</v>
      </c>
      <c r="E1215" t="s">
        <v>7540</v>
      </c>
      <c r="F1215" t="s">
        <v>7367</v>
      </c>
      <c r="G1215">
        <v>-6.5</v>
      </c>
      <c r="H1215">
        <v>-6.5</v>
      </c>
      <c r="L1215" t="s">
        <v>7330</v>
      </c>
      <c r="M1215" t="s">
        <v>7330</v>
      </c>
      <c r="N1215" s="501">
        <v>2</v>
      </c>
      <c r="P1215">
        <v>2</v>
      </c>
      <c r="R1215" t="s">
        <v>7331</v>
      </c>
      <c r="S1215">
        <v>0</v>
      </c>
    </row>
    <row r="1216" spans="1:19">
      <c r="A1216" t="s">
        <v>7334</v>
      </c>
      <c r="B1216">
        <v>103</v>
      </c>
      <c r="C1216" t="s">
        <v>7328</v>
      </c>
      <c r="D1216" t="s">
        <v>7366</v>
      </c>
      <c r="E1216" t="s">
        <v>9164</v>
      </c>
      <c r="F1216" t="s">
        <v>7367</v>
      </c>
      <c r="G1216">
        <v>-7</v>
      </c>
      <c r="H1216">
        <v>-7</v>
      </c>
      <c r="L1216" t="s">
        <v>7330</v>
      </c>
      <c r="M1216" t="s">
        <v>7330</v>
      </c>
      <c r="N1216">
        <v>1</v>
      </c>
      <c r="O1216">
        <v>1</v>
      </c>
      <c r="P1216">
        <v>2</v>
      </c>
      <c r="R1216" t="s">
        <v>7331</v>
      </c>
      <c r="S1216">
        <v>0</v>
      </c>
    </row>
    <row r="1217" spans="1:19">
      <c r="A1217" t="s">
        <v>7334</v>
      </c>
      <c r="B1217">
        <v>103</v>
      </c>
      <c r="C1217" t="s">
        <v>7328</v>
      </c>
      <c r="D1217" t="s">
        <v>7366</v>
      </c>
      <c r="E1217" t="s">
        <v>7541</v>
      </c>
      <c r="F1217" t="s">
        <v>7367</v>
      </c>
      <c r="G1217">
        <v>-7.5</v>
      </c>
      <c r="H1217">
        <v>-7.5</v>
      </c>
      <c r="L1217" t="s">
        <v>7330</v>
      </c>
      <c r="M1217" t="s">
        <v>7330</v>
      </c>
      <c r="N1217" s="501">
        <v>141</v>
      </c>
      <c r="P1217">
        <v>109</v>
      </c>
      <c r="Q1217">
        <v>32</v>
      </c>
      <c r="R1217" t="s">
        <v>7331</v>
      </c>
      <c r="S1217">
        <v>0</v>
      </c>
    </row>
    <row r="1218" spans="1:19">
      <c r="A1218" t="s">
        <v>7334</v>
      </c>
      <c r="B1218">
        <v>103</v>
      </c>
      <c r="C1218" t="s">
        <v>7328</v>
      </c>
      <c r="D1218" t="s">
        <v>7366</v>
      </c>
      <c r="E1218" t="s">
        <v>7376</v>
      </c>
      <c r="F1218" t="s">
        <v>7367</v>
      </c>
      <c r="G1218">
        <v>-8</v>
      </c>
      <c r="H1218">
        <v>-8</v>
      </c>
      <c r="L1218" t="s">
        <v>7330</v>
      </c>
      <c r="M1218" t="s">
        <v>7330</v>
      </c>
      <c r="N1218" s="501">
        <v>55</v>
      </c>
      <c r="P1218">
        <v>55</v>
      </c>
      <c r="R1218" t="s">
        <v>7331</v>
      </c>
      <c r="S1218">
        <v>0</v>
      </c>
    </row>
    <row r="1219" spans="1:19">
      <c r="A1219" t="s">
        <v>7334</v>
      </c>
      <c r="B1219">
        <v>103</v>
      </c>
      <c r="C1219" t="s">
        <v>7328</v>
      </c>
      <c r="D1219" t="s">
        <v>7377</v>
      </c>
      <c r="E1219" t="s">
        <v>7378</v>
      </c>
      <c r="F1219" t="s">
        <v>7379</v>
      </c>
      <c r="G1219">
        <v>0</v>
      </c>
      <c r="H1219">
        <v>0</v>
      </c>
      <c r="L1219" t="s">
        <v>7330</v>
      </c>
      <c r="M1219" t="s">
        <v>7330</v>
      </c>
      <c r="N1219" s="501">
        <v>2</v>
      </c>
      <c r="P1219">
        <v>2</v>
      </c>
      <c r="R1219" t="s">
        <v>7331</v>
      </c>
      <c r="S1219">
        <v>0</v>
      </c>
    </row>
    <row r="1220" spans="1:19">
      <c r="A1220" t="s">
        <v>7334</v>
      </c>
      <c r="B1220">
        <v>103</v>
      </c>
      <c r="C1220" t="s">
        <v>7328</v>
      </c>
      <c r="D1220" t="s">
        <v>7377</v>
      </c>
      <c r="E1220" t="s">
        <v>7508</v>
      </c>
      <c r="F1220" t="s">
        <v>7379</v>
      </c>
      <c r="G1220">
        <v>-1.5</v>
      </c>
      <c r="H1220">
        <v>-1.5</v>
      </c>
      <c r="L1220" t="s">
        <v>7330</v>
      </c>
      <c r="M1220" t="s">
        <v>7330</v>
      </c>
      <c r="N1220" s="501">
        <v>122</v>
      </c>
      <c r="P1220">
        <v>122</v>
      </c>
      <c r="R1220" t="s">
        <v>7331</v>
      </c>
      <c r="S1220">
        <v>0</v>
      </c>
    </row>
    <row r="1221" spans="1:19">
      <c r="A1221" t="s">
        <v>7334</v>
      </c>
      <c r="B1221">
        <v>103</v>
      </c>
      <c r="C1221" t="s">
        <v>7328</v>
      </c>
      <c r="D1221" t="s">
        <v>7377</v>
      </c>
      <c r="E1221" t="s">
        <v>7509</v>
      </c>
      <c r="F1221" t="s">
        <v>7379</v>
      </c>
      <c r="G1221">
        <v>-1.75</v>
      </c>
      <c r="H1221">
        <v>-1.75</v>
      </c>
      <c r="L1221" t="s">
        <v>7330</v>
      </c>
      <c r="M1221" t="s">
        <v>7330</v>
      </c>
      <c r="N1221" s="501">
        <v>1</v>
      </c>
      <c r="P1221">
        <v>1</v>
      </c>
      <c r="Q1221" s="501"/>
      <c r="R1221" t="s">
        <v>7331</v>
      </c>
      <c r="S1221">
        <v>0</v>
      </c>
    </row>
    <row r="1222" spans="1:19">
      <c r="A1222" t="s">
        <v>7334</v>
      </c>
      <c r="B1222">
        <v>103</v>
      </c>
      <c r="C1222" t="s">
        <v>7328</v>
      </c>
      <c r="D1222" t="s">
        <v>7377</v>
      </c>
      <c r="E1222" t="s">
        <v>7380</v>
      </c>
      <c r="F1222" t="s">
        <v>7379</v>
      </c>
      <c r="G1222">
        <v>-2.5</v>
      </c>
      <c r="H1222">
        <v>-2.5</v>
      </c>
      <c r="L1222" t="s">
        <v>7330</v>
      </c>
      <c r="M1222" t="s">
        <v>7330</v>
      </c>
      <c r="N1222" s="501">
        <v>38</v>
      </c>
      <c r="P1222">
        <v>38</v>
      </c>
      <c r="Q1222" s="501"/>
      <c r="R1222" t="s">
        <v>7331</v>
      </c>
      <c r="S1222">
        <v>0</v>
      </c>
    </row>
    <row r="1223" spans="1:19">
      <c r="A1223" t="s">
        <v>7334</v>
      </c>
      <c r="B1223">
        <v>103</v>
      </c>
      <c r="C1223" t="s">
        <v>7328</v>
      </c>
      <c r="D1223" t="s">
        <v>7377</v>
      </c>
      <c r="E1223" t="s">
        <v>7381</v>
      </c>
      <c r="F1223" t="s">
        <v>7379</v>
      </c>
      <c r="G1223">
        <v>-3</v>
      </c>
      <c r="H1223">
        <v>-3</v>
      </c>
      <c r="L1223" t="s">
        <v>7330</v>
      </c>
      <c r="M1223" t="s">
        <v>7330</v>
      </c>
      <c r="N1223" s="501">
        <v>167</v>
      </c>
      <c r="P1223">
        <v>167</v>
      </c>
      <c r="R1223" t="s">
        <v>7331</v>
      </c>
      <c r="S1223">
        <v>0</v>
      </c>
    </row>
    <row r="1224" spans="1:19">
      <c r="A1224" t="s">
        <v>7334</v>
      </c>
      <c r="B1224">
        <v>103</v>
      </c>
      <c r="C1224" t="s">
        <v>7328</v>
      </c>
      <c r="D1224" t="s">
        <v>7377</v>
      </c>
      <c r="E1224" t="s">
        <v>7382</v>
      </c>
      <c r="F1224" t="s">
        <v>7379</v>
      </c>
      <c r="G1224">
        <v>-3.25</v>
      </c>
      <c r="H1224">
        <v>-3.25</v>
      </c>
      <c r="L1224" t="s">
        <v>7330</v>
      </c>
      <c r="M1224" t="s">
        <v>7330</v>
      </c>
      <c r="N1224" s="501">
        <v>208</v>
      </c>
      <c r="P1224">
        <v>208</v>
      </c>
      <c r="Q1224" s="501"/>
      <c r="R1224" t="s">
        <v>7331</v>
      </c>
      <c r="S1224">
        <v>0</v>
      </c>
    </row>
    <row r="1225" spans="1:19">
      <c r="A1225" t="s">
        <v>7334</v>
      </c>
      <c r="B1225">
        <v>103</v>
      </c>
      <c r="C1225" t="s">
        <v>7328</v>
      </c>
      <c r="D1225" t="s">
        <v>7377</v>
      </c>
      <c r="E1225" t="s">
        <v>7510</v>
      </c>
      <c r="F1225" t="s">
        <v>7379</v>
      </c>
      <c r="G1225">
        <v>-3.5</v>
      </c>
      <c r="H1225">
        <v>-3.5</v>
      </c>
      <c r="L1225" t="s">
        <v>7330</v>
      </c>
      <c r="M1225" t="s">
        <v>7330</v>
      </c>
      <c r="N1225" s="501">
        <v>51</v>
      </c>
      <c r="P1225">
        <v>51</v>
      </c>
      <c r="Q1225" s="501"/>
      <c r="R1225" t="s">
        <v>7331</v>
      </c>
      <c r="S1225">
        <v>0</v>
      </c>
    </row>
    <row r="1226" spans="1:19">
      <c r="A1226" t="s">
        <v>7334</v>
      </c>
      <c r="B1226">
        <v>103</v>
      </c>
      <c r="C1226" t="s">
        <v>7328</v>
      </c>
      <c r="D1226" t="s">
        <v>7377</v>
      </c>
      <c r="E1226" t="s">
        <v>7511</v>
      </c>
      <c r="F1226" t="s">
        <v>7379</v>
      </c>
      <c r="G1226">
        <v>-3.75</v>
      </c>
      <c r="H1226">
        <v>-3.75</v>
      </c>
      <c r="L1226" t="s">
        <v>7330</v>
      </c>
      <c r="M1226" t="s">
        <v>7330</v>
      </c>
      <c r="N1226" s="501">
        <v>1</v>
      </c>
      <c r="P1226">
        <v>1</v>
      </c>
      <c r="R1226" t="s">
        <v>7331</v>
      </c>
      <c r="S1226">
        <v>0</v>
      </c>
    </row>
    <row r="1227" spans="1:19">
      <c r="A1227" t="s">
        <v>7334</v>
      </c>
      <c r="B1227">
        <v>103</v>
      </c>
      <c r="C1227" t="s">
        <v>7328</v>
      </c>
      <c r="D1227" t="s">
        <v>7377</v>
      </c>
      <c r="E1227" t="s">
        <v>7512</v>
      </c>
      <c r="F1227" t="s">
        <v>7379</v>
      </c>
      <c r="G1227">
        <v>-4</v>
      </c>
      <c r="H1227">
        <v>-4</v>
      </c>
      <c r="L1227" t="s">
        <v>7330</v>
      </c>
      <c r="M1227" t="s">
        <v>7330</v>
      </c>
      <c r="N1227" s="501">
        <v>1</v>
      </c>
      <c r="P1227">
        <v>1</v>
      </c>
      <c r="R1227" t="s">
        <v>7331</v>
      </c>
      <c r="S1227">
        <v>0</v>
      </c>
    </row>
    <row r="1228" spans="1:19">
      <c r="A1228" t="s">
        <v>7334</v>
      </c>
      <c r="B1228">
        <v>103</v>
      </c>
      <c r="C1228" t="s">
        <v>7328</v>
      </c>
      <c r="D1228" t="s">
        <v>7377</v>
      </c>
      <c r="E1228" t="s">
        <v>7513</v>
      </c>
      <c r="F1228" t="s">
        <v>7379</v>
      </c>
      <c r="G1228">
        <v>-4.25</v>
      </c>
      <c r="H1228">
        <v>-4.25</v>
      </c>
      <c r="L1228" t="s">
        <v>7330</v>
      </c>
      <c r="M1228" t="s">
        <v>7330</v>
      </c>
      <c r="N1228" s="501">
        <v>1</v>
      </c>
      <c r="P1228">
        <v>1</v>
      </c>
      <c r="Q1228" s="501"/>
      <c r="R1228" t="s">
        <v>7331</v>
      </c>
      <c r="S1228">
        <v>0</v>
      </c>
    </row>
    <row r="1229" spans="1:19">
      <c r="A1229" t="s">
        <v>7334</v>
      </c>
      <c r="B1229">
        <v>103</v>
      </c>
      <c r="C1229" t="s">
        <v>7328</v>
      </c>
      <c r="D1229" t="s">
        <v>7377</v>
      </c>
      <c r="E1229" t="s">
        <v>7514</v>
      </c>
      <c r="F1229" t="s">
        <v>7379</v>
      </c>
      <c r="G1229">
        <v>-4.5</v>
      </c>
      <c r="H1229">
        <v>-4.5</v>
      </c>
      <c r="L1229" t="s">
        <v>7330</v>
      </c>
      <c r="M1229" t="s">
        <v>7330</v>
      </c>
      <c r="N1229" s="501">
        <v>1</v>
      </c>
      <c r="P1229">
        <v>1</v>
      </c>
      <c r="R1229" t="s">
        <v>7331</v>
      </c>
      <c r="S1229">
        <v>0</v>
      </c>
    </row>
    <row r="1230" spans="1:19">
      <c r="A1230" t="s">
        <v>7334</v>
      </c>
      <c r="B1230">
        <v>103</v>
      </c>
      <c r="C1230" t="s">
        <v>7328</v>
      </c>
      <c r="D1230" t="s">
        <v>7377</v>
      </c>
      <c r="E1230" t="s">
        <v>7515</v>
      </c>
      <c r="F1230" t="s">
        <v>7379</v>
      </c>
      <c r="G1230">
        <v>-4.75</v>
      </c>
      <c r="H1230">
        <v>-4.75</v>
      </c>
      <c r="L1230" t="s">
        <v>7330</v>
      </c>
      <c r="M1230" t="s">
        <v>7330</v>
      </c>
      <c r="N1230" s="501">
        <v>1</v>
      </c>
      <c r="P1230">
        <v>1</v>
      </c>
      <c r="R1230" t="s">
        <v>7331</v>
      </c>
      <c r="S1230">
        <v>0</v>
      </c>
    </row>
    <row r="1231" spans="1:19">
      <c r="A1231" t="s">
        <v>7334</v>
      </c>
      <c r="B1231">
        <v>103</v>
      </c>
      <c r="C1231" t="s">
        <v>7328</v>
      </c>
      <c r="D1231" t="s">
        <v>7377</v>
      </c>
      <c r="E1231" t="s">
        <v>7516</v>
      </c>
      <c r="F1231" t="s">
        <v>7379</v>
      </c>
      <c r="G1231">
        <v>-5</v>
      </c>
      <c r="H1231">
        <v>-5</v>
      </c>
      <c r="L1231" t="s">
        <v>7330</v>
      </c>
      <c r="M1231" t="s">
        <v>7330</v>
      </c>
      <c r="N1231" s="501">
        <v>1</v>
      </c>
      <c r="P1231">
        <v>1</v>
      </c>
      <c r="R1231" t="s">
        <v>7331</v>
      </c>
      <c r="S1231">
        <v>0</v>
      </c>
    </row>
    <row r="1232" spans="1:19">
      <c r="A1232" t="s">
        <v>7334</v>
      </c>
      <c r="B1232">
        <v>103</v>
      </c>
      <c r="C1232" t="s">
        <v>7328</v>
      </c>
      <c r="D1232" t="s">
        <v>7377</v>
      </c>
      <c r="E1232" t="s">
        <v>7517</v>
      </c>
      <c r="F1232" t="s">
        <v>7379</v>
      </c>
      <c r="G1232">
        <v>-5.5</v>
      </c>
      <c r="H1232">
        <v>-5.5</v>
      </c>
      <c r="L1232" t="s">
        <v>7330</v>
      </c>
      <c r="M1232" t="s">
        <v>7330</v>
      </c>
      <c r="N1232" s="501">
        <v>1</v>
      </c>
      <c r="P1232">
        <v>1</v>
      </c>
      <c r="R1232" t="s">
        <v>7331</v>
      </c>
      <c r="S1232">
        <v>0</v>
      </c>
    </row>
    <row r="1233" spans="1:19">
      <c r="A1233" t="s">
        <v>7334</v>
      </c>
      <c r="B1233">
        <v>103</v>
      </c>
      <c r="C1233" t="s">
        <v>7328</v>
      </c>
      <c r="D1233" t="s">
        <v>7377</v>
      </c>
      <c r="E1233" t="s">
        <v>9168</v>
      </c>
      <c r="F1233" t="s">
        <v>7379</v>
      </c>
      <c r="G1233">
        <v>-6</v>
      </c>
      <c r="H1233">
        <v>-6</v>
      </c>
      <c r="L1233" t="s">
        <v>7330</v>
      </c>
      <c r="M1233" t="s">
        <v>7330</v>
      </c>
      <c r="N1233" s="501">
        <v>1</v>
      </c>
      <c r="P1233">
        <v>1</v>
      </c>
      <c r="R1233" t="s">
        <v>7331</v>
      </c>
      <c r="S1233">
        <v>0</v>
      </c>
    </row>
    <row r="1234" spans="1:19">
      <c r="A1234" t="s">
        <v>7334</v>
      </c>
      <c r="B1234">
        <v>103</v>
      </c>
      <c r="C1234" t="s">
        <v>7328</v>
      </c>
      <c r="D1234" t="s">
        <v>7377</v>
      </c>
      <c r="E1234" t="s">
        <v>7518</v>
      </c>
      <c r="F1234" t="s">
        <v>7379</v>
      </c>
      <c r="G1234">
        <v>-6.5</v>
      </c>
      <c r="H1234">
        <v>-6.5</v>
      </c>
      <c r="L1234" t="s">
        <v>7330</v>
      </c>
      <c r="M1234" t="s">
        <v>7330</v>
      </c>
      <c r="N1234" s="501">
        <v>2</v>
      </c>
      <c r="P1234">
        <v>2</v>
      </c>
      <c r="R1234" t="s">
        <v>7331</v>
      </c>
      <c r="S1234">
        <v>0</v>
      </c>
    </row>
    <row r="1235" spans="1:19">
      <c r="A1235" t="s">
        <v>7334</v>
      </c>
      <c r="B1235">
        <v>103</v>
      </c>
      <c r="C1235" t="s">
        <v>7328</v>
      </c>
      <c r="D1235" t="s">
        <v>7377</v>
      </c>
      <c r="E1235" t="s">
        <v>7519</v>
      </c>
      <c r="F1235" t="s">
        <v>7379</v>
      </c>
      <c r="G1235">
        <v>-7</v>
      </c>
      <c r="H1235">
        <v>-7</v>
      </c>
      <c r="L1235" t="s">
        <v>7330</v>
      </c>
      <c r="M1235" t="s">
        <v>7330</v>
      </c>
      <c r="N1235" s="501">
        <v>2</v>
      </c>
      <c r="P1235">
        <v>2</v>
      </c>
      <c r="R1235" t="s">
        <v>7331</v>
      </c>
      <c r="S1235">
        <v>0</v>
      </c>
    </row>
    <row r="1236" spans="1:19">
      <c r="A1236" t="s">
        <v>7334</v>
      </c>
      <c r="B1236">
        <v>103</v>
      </c>
      <c r="C1236" t="s">
        <v>7328</v>
      </c>
      <c r="D1236" t="s">
        <v>7377</v>
      </c>
      <c r="E1236" t="s">
        <v>7520</v>
      </c>
      <c r="F1236" t="s">
        <v>7379</v>
      </c>
      <c r="G1236">
        <v>-7.5</v>
      </c>
      <c r="H1236">
        <v>-7.5</v>
      </c>
      <c r="L1236" t="s">
        <v>7330</v>
      </c>
      <c r="M1236" t="s">
        <v>7330</v>
      </c>
      <c r="N1236" s="501">
        <v>2</v>
      </c>
      <c r="P1236">
        <v>2</v>
      </c>
      <c r="R1236" t="s">
        <v>7331</v>
      </c>
      <c r="S1236">
        <v>0</v>
      </c>
    </row>
    <row r="1237" spans="1:19">
      <c r="A1237" t="s">
        <v>7334</v>
      </c>
      <c r="B1237">
        <v>103</v>
      </c>
      <c r="C1237" t="s">
        <v>7328</v>
      </c>
      <c r="D1237" t="s">
        <v>7377</v>
      </c>
      <c r="E1237" t="s">
        <v>7521</v>
      </c>
      <c r="F1237" t="s">
        <v>7379</v>
      </c>
      <c r="G1237">
        <v>-8</v>
      </c>
      <c r="H1237">
        <v>-8</v>
      </c>
      <c r="L1237" t="s">
        <v>7330</v>
      </c>
      <c r="M1237" t="s">
        <v>7330</v>
      </c>
      <c r="N1237" s="501">
        <v>1</v>
      </c>
      <c r="O1237">
        <v>1</v>
      </c>
      <c r="P1237">
        <v>2</v>
      </c>
      <c r="R1237" t="s">
        <v>7331</v>
      </c>
      <c r="S1237">
        <v>0</v>
      </c>
    </row>
    <row r="1238" spans="1:19">
      <c r="A1238" t="s">
        <v>7334</v>
      </c>
      <c r="B1238">
        <v>103</v>
      </c>
      <c r="C1238" t="s">
        <v>7328</v>
      </c>
      <c r="D1238" t="s">
        <v>8097</v>
      </c>
      <c r="E1238" t="s">
        <v>9148</v>
      </c>
      <c r="F1238" t="s">
        <v>7295</v>
      </c>
      <c r="G1238">
        <v>0</v>
      </c>
      <c r="H1238">
        <v>0</v>
      </c>
      <c r="L1238" t="s">
        <v>7330</v>
      </c>
      <c r="M1238" t="s">
        <v>7330</v>
      </c>
      <c r="N1238" s="501">
        <v>130</v>
      </c>
      <c r="P1238">
        <v>0</v>
      </c>
      <c r="Q1238">
        <v>130</v>
      </c>
      <c r="R1238" t="s">
        <v>7329</v>
      </c>
      <c r="S1238">
        <v>0</v>
      </c>
    </row>
    <row r="1239" spans="1:19">
      <c r="A1239" t="s">
        <v>7334</v>
      </c>
      <c r="B1239">
        <v>103</v>
      </c>
      <c r="C1239" t="s">
        <v>7328</v>
      </c>
      <c r="D1239" t="s">
        <v>8097</v>
      </c>
      <c r="E1239" t="s">
        <v>9149</v>
      </c>
      <c r="F1239" t="s">
        <v>7295</v>
      </c>
      <c r="G1239">
        <v>-1</v>
      </c>
      <c r="H1239">
        <v>-1</v>
      </c>
      <c r="L1239" t="s">
        <v>7330</v>
      </c>
      <c r="M1239" t="s">
        <v>7330</v>
      </c>
      <c r="N1239" s="501">
        <v>99</v>
      </c>
      <c r="P1239">
        <v>0</v>
      </c>
      <c r="Q1239">
        <v>99</v>
      </c>
      <c r="R1239" t="s">
        <v>7329</v>
      </c>
      <c r="S1239">
        <v>0</v>
      </c>
    </row>
    <row r="1240" spans="1:19">
      <c r="A1240" t="s">
        <v>7334</v>
      </c>
      <c r="B1240">
        <v>103</v>
      </c>
      <c r="C1240" t="s">
        <v>7328</v>
      </c>
      <c r="D1240" t="s">
        <v>8097</v>
      </c>
      <c r="E1240" t="s">
        <v>9150</v>
      </c>
      <c r="F1240" t="s">
        <v>7295</v>
      </c>
      <c r="G1240">
        <v>-1.25</v>
      </c>
      <c r="H1240">
        <v>-1.25</v>
      </c>
      <c r="L1240" t="s">
        <v>7330</v>
      </c>
      <c r="M1240" t="s">
        <v>7330</v>
      </c>
      <c r="N1240" s="501">
        <v>31</v>
      </c>
      <c r="P1240">
        <v>0</v>
      </c>
      <c r="Q1240">
        <v>31</v>
      </c>
      <c r="R1240" t="s">
        <v>7329</v>
      </c>
      <c r="S1240">
        <v>0</v>
      </c>
    </row>
    <row r="1241" spans="1:19">
      <c r="A1241" t="s">
        <v>7334</v>
      </c>
      <c r="B1241">
        <v>103</v>
      </c>
      <c r="C1241" t="s">
        <v>7328</v>
      </c>
      <c r="D1241" t="s">
        <v>8097</v>
      </c>
      <c r="E1241" t="s">
        <v>9151</v>
      </c>
      <c r="F1241" t="s">
        <v>7295</v>
      </c>
      <c r="G1241">
        <v>-1.75</v>
      </c>
      <c r="H1241">
        <v>-1.75</v>
      </c>
      <c r="L1241" t="s">
        <v>7330</v>
      </c>
      <c r="M1241" t="s">
        <v>7330</v>
      </c>
      <c r="N1241" s="501">
        <v>109</v>
      </c>
      <c r="P1241">
        <v>0</v>
      </c>
      <c r="Q1241" s="501">
        <v>109</v>
      </c>
      <c r="R1241" t="s">
        <v>7329</v>
      </c>
      <c r="S1241">
        <v>0</v>
      </c>
    </row>
    <row r="1242" spans="1:19">
      <c r="A1242" t="s">
        <v>7334</v>
      </c>
      <c r="B1242">
        <v>103</v>
      </c>
      <c r="C1242" t="s">
        <v>7328</v>
      </c>
      <c r="D1242" t="s">
        <v>8097</v>
      </c>
      <c r="E1242" t="s">
        <v>9152</v>
      </c>
      <c r="F1242" t="s">
        <v>7295</v>
      </c>
      <c r="G1242">
        <v>-2</v>
      </c>
      <c r="H1242">
        <v>-2</v>
      </c>
      <c r="L1242" t="s">
        <v>7330</v>
      </c>
      <c r="M1242" t="s">
        <v>7330</v>
      </c>
      <c r="N1242" s="501">
        <v>58</v>
      </c>
      <c r="P1242">
        <v>0</v>
      </c>
      <c r="Q1242" s="501">
        <v>58</v>
      </c>
      <c r="R1242" t="s">
        <v>7329</v>
      </c>
      <c r="S1242">
        <v>0</v>
      </c>
    </row>
    <row r="1243" spans="1:19">
      <c r="A1243" t="s">
        <v>7334</v>
      </c>
      <c r="B1243">
        <v>103</v>
      </c>
      <c r="C1243" t="s">
        <v>7328</v>
      </c>
      <c r="D1243" t="s">
        <v>8097</v>
      </c>
      <c r="E1243" t="s">
        <v>9153</v>
      </c>
      <c r="F1243" t="s">
        <v>7295</v>
      </c>
      <c r="G1243">
        <v>-2.25</v>
      </c>
      <c r="H1243">
        <v>-2.25</v>
      </c>
      <c r="L1243" t="s">
        <v>7330</v>
      </c>
      <c r="M1243" t="s">
        <v>7330</v>
      </c>
      <c r="N1243" s="501">
        <v>81</v>
      </c>
      <c r="P1243">
        <v>0</v>
      </c>
      <c r="Q1243">
        <v>81</v>
      </c>
      <c r="R1243" t="s">
        <v>7329</v>
      </c>
      <c r="S1243">
        <v>0</v>
      </c>
    </row>
    <row r="1244" spans="1:19">
      <c r="A1244" t="s">
        <v>7334</v>
      </c>
      <c r="B1244">
        <v>103</v>
      </c>
      <c r="C1244" t="s">
        <v>7328</v>
      </c>
      <c r="D1244" t="s">
        <v>8097</v>
      </c>
      <c r="E1244" t="s">
        <v>9154</v>
      </c>
      <c r="F1244" t="s">
        <v>7295</v>
      </c>
      <c r="G1244">
        <v>-2.75</v>
      </c>
      <c r="H1244">
        <v>-2.75</v>
      </c>
      <c r="L1244" t="s">
        <v>7330</v>
      </c>
      <c r="M1244" t="s">
        <v>7330</v>
      </c>
      <c r="N1244" s="501">
        <v>138</v>
      </c>
      <c r="P1244">
        <v>0</v>
      </c>
      <c r="Q1244">
        <v>138</v>
      </c>
      <c r="R1244" t="s">
        <v>7329</v>
      </c>
      <c r="S1244">
        <v>0</v>
      </c>
    </row>
    <row r="1245" spans="1:19">
      <c r="A1245" t="s">
        <v>7334</v>
      </c>
      <c r="B1245">
        <v>103</v>
      </c>
      <c r="C1245" t="s">
        <v>7328</v>
      </c>
      <c r="D1245" t="s">
        <v>8097</v>
      </c>
      <c r="E1245" t="s">
        <v>9155</v>
      </c>
      <c r="F1245" t="s">
        <v>7295</v>
      </c>
      <c r="G1245">
        <v>-3</v>
      </c>
      <c r="H1245">
        <v>-3</v>
      </c>
      <c r="L1245" t="s">
        <v>7330</v>
      </c>
      <c r="M1245" t="s">
        <v>7330</v>
      </c>
      <c r="N1245" s="501">
        <v>139</v>
      </c>
      <c r="P1245">
        <v>0</v>
      </c>
      <c r="Q1245" s="501">
        <v>139</v>
      </c>
      <c r="R1245" t="s">
        <v>7329</v>
      </c>
      <c r="S1245">
        <v>0</v>
      </c>
    </row>
    <row r="1246" spans="1:19">
      <c r="A1246" t="s">
        <v>7334</v>
      </c>
      <c r="B1246">
        <v>103</v>
      </c>
      <c r="C1246" t="s">
        <v>7328</v>
      </c>
      <c r="D1246" t="s">
        <v>8097</v>
      </c>
      <c r="E1246" t="s">
        <v>9156</v>
      </c>
      <c r="F1246" t="s">
        <v>7295</v>
      </c>
      <c r="G1246">
        <v>-3.25</v>
      </c>
      <c r="H1246">
        <v>-3.25</v>
      </c>
      <c r="L1246" t="s">
        <v>7330</v>
      </c>
      <c r="M1246" t="s">
        <v>7330</v>
      </c>
      <c r="N1246" s="501">
        <v>32</v>
      </c>
      <c r="P1246">
        <v>0</v>
      </c>
      <c r="Q1246">
        <v>32</v>
      </c>
      <c r="R1246" t="s">
        <v>7329</v>
      </c>
      <c r="S1246">
        <v>0</v>
      </c>
    </row>
    <row r="1247" spans="1:19">
      <c r="A1247" t="s">
        <v>7334</v>
      </c>
      <c r="B1247">
        <v>103</v>
      </c>
      <c r="C1247" t="s">
        <v>7328</v>
      </c>
      <c r="D1247" t="s">
        <v>8097</v>
      </c>
      <c r="E1247" t="s">
        <v>9157</v>
      </c>
      <c r="F1247" t="s">
        <v>7295</v>
      </c>
      <c r="G1247">
        <v>-3.75</v>
      </c>
      <c r="H1247">
        <v>-3.75</v>
      </c>
      <c r="L1247" t="s">
        <v>7330</v>
      </c>
      <c r="M1247" t="s">
        <v>7330</v>
      </c>
      <c r="N1247" s="501">
        <v>44</v>
      </c>
      <c r="P1247">
        <v>0</v>
      </c>
      <c r="Q1247">
        <v>44</v>
      </c>
      <c r="R1247" t="s">
        <v>7329</v>
      </c>
      <c r="S1247">
        <v>0</v>
      </c>
    </row>
    <row r="1248" spans="1:19">
      <c r="A1248" t="s">
        <v>7334</v>
      </c>
      <c r="B1248">
        <v>103</v>
      </c>
      <c r="C1248" t="s">
        <v>7328</v>
      </c>
      <c r="D1248" t="s">
        <v>8097</v>
      </c>
      <c r="E1248" t="s">
        <v>9158</v>
      </c>
      <c r="F1248" t="s">
        <v>7295</v>
      </c>
      <c r="G1248">
        <v>-4</v>
      </c>
      <c r="H1248">
        <v>-4</v>
      </c>
      <c r="L1248" t="s">
        <v>7330</v>
      </c>
      <c r="M1248" t="s">
        <v>7330</v>
      </c>
      <c r="N1248" s="501">
        <v>93</v>
      </c>
      <c r="P1248">
        <v>0</v>
      </c>
      <c r="Q1248">
        <v>93</v>
      </c>
      <c r="R1248" t="s">
        <v>7329</v>
      </c>
      <c r="S1248">
        <v>0</v>
      </c>
    </row>
    <row r="1249" spans="1:19">
      <c r="A1249" t="s">
        <v>7334</v>
      </c>
      <c r="B1249">
        <v>103</v>
      </c>
      <c r="C1249" t="s">
        <v>7328</v>
      </c>
      <c r="D1249" t="s">
        <v>8097</v>
      </c>
      <c r="E1249" t="s">
        <v>9159</v>
      </c>
      <c r="F1249" t="s">
        <v>7295</v>
      </c>
      <c r="G1249">
        <v>-4.25</v>
      </c>
      <c r="H1249">
        <v>-4.25</v>
      </c>
      <c r="L1249" t="s">
        <v>7330</v>
      </c>
      <c r="M1249" t="s">
        <v>7330</v>
      </c>
      <c r="N1249" s="501">
        <v>83</v>
      </c>
      <c r="P1249">
        <v>0</v>
      </c>
      <c r="Q1249">
        <v>83</v>
      </c>
      <c r="R1249" t="s">
        <v>7329</v>
      </c>
      <c r="S1249">
        <v>0</v>
      </c>
    </row>
    <row r="1250" spans="1:19">
      <c r="A1250" t="s">
        <v>7334</v>
      </c>
      <c r="B1250">
        <v>103</v>
      </c>
      <c r="C1250" t="s">
        <v>7328</v>
      </c>
      <c r="D1250" t="s">
        <v>8097</v>
      </c>
      <c r="E1250" t="s">
        <v>8098</v>
      </c>
      <c r="F1250" t="s">
        <v>7295</v>
      </c>
      <c r="G1250">
        <v>-4.75</v>
      </c>
      <c r="H1250">
        <v>-4.75</v>
      </c>
      <c r="L1250" t="s">
        <v>7330</v>
      </c>
      <c r="M1250" t="s">
        <v>7330</v>
      </c>
      <c r="N1250" s="501">
        <v>251</v>
      </c>
      <c r="P1250">
        <v>54</v>
      </c>
      <c r="Q1250">
        <v>197</v>
      </c>
      <c r="R1250" t="s">
        <v>7329</v>
      </c>
      <c r="S1250">
        <v>0</v>
      </c>
    </row>
    <row r="1251" spans="1:19">
      <c r="A1251" t="s">
        <v>7334</v>
      </c>
      <c r="B1251">
        <v>103</v>
      </c>
      <c r="C1251" t="s">
        <v>7328</v>
      </c>
      <c r="D1251" t="s">
        <v>8097</v>
      </c>
      <c r="E1251" t="s">
        <v>9160</v>
      </c>
      <c r="F1251" t="s">
        <v>7295</v>
      </c>
      <c r="G1251">
        <v>-5</v>
      </c>
      <c r="H1251">
        <v>-5</v>
      </c>
      <c r="L1251" t="s">
        <v>7330</v>
      </c>
      <c r="M1251" t="s">
        <v>7330</v>
      </c>
      <c r="N1251" s="501">
        <v>601</v>
      </c>
      <c r="P1251">
        <v>0</v>
      </c>
      <c r="Q1251">
        <v>601</v>
      </c>
      <c r="R1251" t="s">
        <v>7329</v>
      </c>
      <c r="S1251">
        <v>0</v>
      </c>
    </row>
    <row r="1252" spans="1:19">
      <c r="A1252" t="s">
        <v>7334</v>
      </c>
      <c r="B1252">
        <v>103</v>
      </c>
      <c r="C1252" t="s">
        <v>7328</v>
      </c>
      <c r="D1252" t="s">
        <v>8097</v>
      </c>
      <c r="E1252" t="s">
        <v>8099</v>
      </c>
      <c r="F1252" t="s">
        <v>7295</v>
      </c>
      <c r="G1252">
        <v>-5.75</v>
      </c>
      <c r="H1252">
        <v>-5.75</v>
      </c>
      <c r="L1252" t="s">
        <v>7330</v>
      </c>
      <c r="M1252" t="s">
        <v>7330</v>
      </c>
      <c r="N1252" s="501">
        <v>489</v>
      </c>
      <c r="P1252">
        <v>34</v>
      </c>
      <c r="Q1252">
        <v>455</v>
      </c>
      <c r="R1252" t="s">
        <v>7329</v>
      </c>
      <c r="S1252">
        <v>0</v>
      </c>
    </row>
    <row r="1253" spans="1:19">
      <c r="A1253" t="s">
        <v>7334</v>
      </c>
      <c r="B1253">
        <v>103</v>
      </c>
      <c r="C1253" t="s">
        <v>7328</v>
      </c>
      <c r="D1253" t="s">
        <v>8097</v>
      </c>
      <c r="E1253" t="s">
        <v>8100</v>
      </c>
      <c r="F1253" t="s">
        <v>7295</v>
      </c>
      <c r="G1253">
        <v>-6</v>
      </c>
      <c r="H1253">
        <v>-6</v>
      </c>
      <c r="L1253" t="s">
        <v>7330</v>
      </c>
      <c r="M1253" t="s">
        <v>7330</v>
      </c>
      <c r="N1253" s="501">
        <v>386</v>
      </c>
      <c r="P1253">
        <v>54</v>
      </c>
      <c r="Q1253">
        <v>332</v>
      </c>
      <c r="R1253" t="s">
        <v>7329</v>
      </c>
      <c r="S1253">
        <v>0</v>
      </c>
    </row>
    <row r="1254" spans="1:19">
      <c r="A1254" t="s">
        <v>7334</v>
      </c>
      <c r="B1254">
        <v>103</v>
      </c>
      <c r="C1254" t="s">
        <v>7328</v>
      </c>
      <c r="D1254" t="s">
        <v>8097</v>
      </c>
      <c r="E1254" t="s">
        <v>8101</v>
      </c>
      <c r="F1254" t="s">
        <v>7295</v>
      </c>
      <c r="G1254">
        <v>-6.5</v>
      </c>
      <c r="H1254">
        <v>-6.5</v>
      </c>
      <c r="L1254" t="s">
        <v>7330</v>
      </c>
      <c r="M1254" t="s">
        <v>7330</v>
      </c>
      <c r="N1254" s="501">
        <v>283</v>
      </c>
      <c r="P1254">
        <v>54</v>
      </c>
      <c r="Q1254">
        <v>229</v>
      </c>
      <c r="R1254" t="s">
        <v>7329</v>
      </c>
      <c r="S1254">
        <v>0</v>
      </c>
    </row>
    <row r="1255" spans="1:19">
      <c r="A1255" t="s">
        <v>7334</v>
      </c>
      <c r="B1255">
        <v>103</v>
      </c>
      <c r="C1255" t="s">
        <v>7328</v>
      </c>
      <c r="D1255" t="s">
        <v>8097</v>
      </c>
      <c r="E1255" t="s">
        <v>8102</v>
      </c>
      <c r="F1255" t="s">
        <v>7295</v>
      </c>
      <c r="G1255">
        <v>-7</v>
      </c>
      <c r="H1255">
        <v>-7</v>
      </c>
      <c r="L1255" t="s">
        <v>7330</v>
      </c>
      <c r="M1255" t="s">
        <v>7330</v>
      </c>
      <c r="N1255" s="501">
        <v>390</v>
      </c>
      <c r="P1255">
        <v>14</v>
      </c>
      <c r="Q1255">
        <v>376</v>
      </c>
      <c r="R1255" t="s">
        <v>7329</v>
      </c>
      <c r="S1255">
        <v>0</v>
      </c>
    </row>
    <row r="1256" spans="1:19">
      <c r="A1256" t="s">
        <v>7334</v>
      </c>
      <c r="B1256">
        <v>103</v>
      </c>
      <c r="C1256" t="s">
        <v>7328</v>
      </c>
      <c r="D1256" t="s">
        <v>8103</v>
      </c>
      <c r="E1256" t="s">
        <v>8104</v>
      </c>
      <c r="F1256" t="s">
        <v>7293</v>
      </c>
      <c r="G1256">
        <v>0</v>
      </c>
      <c r="H1256">
        <v>0</v>
      </c>
      <c r="L1256" t="s">
        <v>7330</v>
      </c>
      <c r="M1256" t="s">
        <v>7330</v>
      </c>
      <c r="N1256" s="501">
        <v>1131</v>
      </c>
      <c r="P1256">
        <v>791</v>
      </c>
      <c r="Q1256">
        <v>340</v>
      </c>
      <c r="R1256" t="s">
        <v>7329</v>
      </c>
      <c r="S1256">
        <v>0</v>
      </c>
    </row>
    <row r="1257" spans="1:19">
      <c r="A1257" t="s">
        <v>7334</v>
      </c>
      <c r="B1257">
        <v>103</v>
      </c>
      <c r="C1257" t="s">
        <v>7328</v>
      </c>
      <c r="D1257" t="s">
        <v>8103</v>
      </c>
      <c r="E1257" t="s">
        <v>8105</v>
      </c>
      <c r="F1257" t="s">
        <v>7293</v>
      </c>
      <c r="G1257">
        <v>-0.5</v>
      </c>
      <c r="H1257">
        <v>-0.5</v>
      </c>
      <c r="L1257" t="s">
        <v>7330</v>
      </c>
      <c r="M1257" t="s">
        <v>7330</v>
      </c>
      <c r="N1257" s="501">
        <v>1732</v>
      </c>
      <c r="P1257">
        <v>750</v>
      </c>
      <c r="Q1257">
        <v>982</v>
      </c>
      <c r="R1257" t="s">
        <v>7329</v>
      </c>
      <c r="S1257">
        <v>0</v>
      </c>
    </row>
    <row r="1258" spans="1:19">
      <c r="A1258" t="s">
        <v>7334</v>
      </c>
      <c r="B1258">
        <v>103</v>
      </c>
      <c r="C1258" t="s">
        <v>7328</v>
      </c>
      <c r="D1258" t="s">
        <v>8103</v>
      </c>
      <c r="E1258" t="s">
        <v>8106</v>
      </c>
      <c r="F1258" t="s">
        <v>7293</v>
      </c>
      <c r="G1258">
        <v>-0.75</v>
      </c>
      <c r="H1258">
        <v>-0.75</v>
      </c>
      <c r="L1258" t="s">
        <v>7330</v>
      </c>
      <c r="M1258" t="s">
        <v>7330</v>
      </c>
      <c r="N1258" s="501">
        <v>568</v>
      </c>
      <c r="P1258">
        <v>400</v>
      </c>
      <c r="Q1258">
        <v>168</v>
      </c>
      <c r="R1258" t="s">
        <v>7329</v>
      </c>
      <c r="S1258">
        <v>0</v>
      </c>
    </row>
    <row r="1259" spans="1:19">
      <c r="A1259" t="s">
        <v>7334</v>
      </c>
      <c r="B1259">
        <v>103</v>
      </c>
      <c r="C1259" t="s">
        <v>7328</v>
      </c>
      <c r="D1259" t="s">
        <v>8103</v>
      </c>
      <c r="E1259" t="s">
        <v>8107</v>
      </c>
      <c r="F1259" t="s">
        <v>7293</v>
      </c>
      <c r="G1259">
        <v>-1</v>
      </c>
      <c r="H1259">
        <v>-1</v>
      </c>
      <c r="L1259" t="s">
        <v>7330</v>
      </c>
      <c r="M1259" t="s">
        <v>7330</v>
      </c>
      <c r="N1259" s="501">
        <v>1097</v>
      </c>
      <c r="P1259">
        <v>791</v>
      </c>
      <c r="Q1259">
        <v>306</v>
      </c>
      <c r="R1259" t="s">
        <v>7329</v>
      </c>
      <c r="S1259">
        <v>0</v>
      </c>
    </row>
    <row r="1260" spans="1:19">
      <c r="A1260" t="s">
        <v>7334</v>
      </c>
      <c r="B1260">
        <v>103</v>
      </c>
      <c r="C1260" t="s">
        <v>7328</v>
      </c>
      <c r="D1260" t="s">
        <v>8103</v>
      </c>
      <c r="E1260" t="s">
        <v>8108</v>
      </c>
      <c r="F1260" t="s">
        <v>7293</v>
      </c>
      <c r="G1260">
        <v>-1.25</v>
      </c>
      <c r="H1260">
        <v>-1.25</v>
      </c>
      <c r="L1260" t="s">
        <v>7330</v>
      </c>
      <c r="M1260" t="s">
        <v>7330</v>
      </c>
      <c r="N1260" s="501">
        <v>1471</v>
      </c>
      <c r="P1260">
        <v>791</v>
      </c>
      <c r="Q1260">
        <v>680</v>
      </c>
      <c r="R1260" t="s">
        <v>7329</v>
      </c>
      <c r="S1260">
        <v>0</v>
      </c>
    </row>
    <row r="1261" spans="1:19">
      <c r="A1261" t="s">
        <v>7334</v>
      </c>
      <c r="B1261">
        <v>103</v>
      </c>
      <c r="C1261" t="s">
        <v>7328</v>
      </c>
      <c r="D1261" t="s">
        <v>8103</v>
      </c>
      <c r="E1261" t="s">
        <v>8109</v>
      </c>
      <c r="F1261" t="s">
        <v>7293</v>
      </c>
      <c r="G1261">
        <v>-1.5</v>
      </c>
      <c r="H1261">
        <v>-1.5</v>
      </c>
      <c r="L1261" t="s">
        <v>7330</v>
      </c>
      <c r="M1261" t="s">
        <v>7330</v>
      </c>
      <c r="N1261" s="501">
        <v>1054</v>
      </c>
      <c r="P1261">
        <v>791</v>
      </c>
      <c r="Q1261">
        <v>263</v>
      </c>
      <c r="R1261" t="s">
        <v>7329</v>
      </c>
      <c r="S1261">
        <v>0</v>
      </c>
    </row>
    <row r="1262" spans="1:19">
      <c r="A1262" t="s">
        <v>7334</v>
      </c>
      <c r="B1262">
        <v>103</v>
      </c>
      <c r="C1262" t="s">
        <v>7328</v>
      </c>
      <c r="D1262" t="s">
        <v>8103</v>
      </c>
      <c r="E1262" t="s">
        <v>8110</v>
      </c>
      <c r="F1262" t="s">
        <v>7293</v>
      </c>
      <c r="G1262">
        <v>-1.75</v>
      </c>
      <c r="H1262">
        <v>-1.75</v>
      </c>
      <c r="L1262" t="s">
        <v>7330</v>
      </c>
      <c r="M1262" t="s">
        <v>7330</v>
      </c>
      <c r="N1262" s="501">
        <v>1048</v>
      </c>
      <c r="P1262">
        <v>791</v>
      </c>
      <c r="Q1262">
        <v>257</v>
      </c>
      <c r="R1262" t="s">
        <v>7329</v>
      </c>
      <c r="S1262">
        <v>0</v>
      </c>
    </row>
    <row r="1263" spans="1:19">
      <c r="A1263" t="s">
        <v>7334</v>
      </c>
      <c r="B1263">
        <v>103</v>
      </c>
      <c r="C1263" t="s">
        <v>7328</v>
      </c>
      <c r="D1263" t="s">
        <v>8103</v>
      </c>
      <c r="E1263" t="s">
        <v>8111</v>
      </c>
      <c r="F1263" t="s">
        <v>7293</v>
      </c>
      <c r="G1263">
        <v>-2</v>
      </c>
      <c r="H1263">
        <v>-2</v>
      </c>
      <c r="L1263" t="s">
        <v>7330</v>
      </c>
      <c r="M1263" t="s">
        <v>7330</v>
      </c>
      <c r="N1263" s="501">
        <v>1143</v>
      </c>
      <c r="P1263">
        <v>791</v>
      </c>
      <c r="Q1263">
        <v>352</v>
      </c>
      <c r="R1263" t="s">
        <v>7329</v>
      </c>
      <c r="S1263">
        <v>0</v>
      </c>
    </row>
    <row r="1264" spans="1:19">
      <c r="A1264" t="s">
        <v>7334</v>
      </c>
      <c r="B1264">
        <v>103</v>
      </c>
      <c r="C1264" t="s">
        <v>7328</v>
      </c>
      <c r="D1264" t="s">
        <v>8103</v>
      </c>
      <c r="E1264" t="s">
        <v>8112</v>
      </c>
      <c r="F1264" t="s">
        <v>7293</v>
      </c>
      <c r="G1264">
        <v>-2.25</v>
      </c>
      <c r="H1264">
        <v>-2.25</v>
      </c>
      <c r="L1264" t="s">
        <v>7330</v>
      </c>
      <c r="M1264" t="s">
        <v>7330</v>
      </c>
      <c r="N1264" s="501">
        <v>1303</v>
      </c>
      <c r="P1264">
        <v>791</v>
      </c>
      <c r="Q1264">
        <v>512</v>
      </c>
      <c r="R1264" t="s">
        <v>7329</v>
      </c>
      <c r="S1264">
        <v>0</v>
      </c>
    </row>
    <row r="1265" spans="1:19">
      <c r="A1265" t="s">
        <v>7334</v>
      </c>
      <c r="B1265">
        <v>103</v>
      </c>
      <c r="C1265" t="s">
        <v>7328</v>
      </c>
      <c r="D1265" t="s">
        <v>8103</v>
      </c>
      <c r="E1265" t="s">
        <v>8113</v>
      </c>
      <c r="F1265" t="s">
        <v>7293</v>
      </c>
      <c r="G1265">
        <v>-2.5</v>
      </c>
      <c r="H1265">
        <v>-2.5</v>
      </c>
      <c r="L1265" t="s">
        <v>7330</v>
      </c>
      <c r="M1265" t="s">
        <v>7330</v>
      </c>
      <c r="N1265" s="501">
        <v>1046</v>
      </c>
      <c r="P1265">
        <v>791</v>
      </c>
      <c r="Q1265">
        <v>255</v>
      </c>
      <c r="R1265" t="s">
        <v>7329</v>
      </c>
      <c r="S1265">
        <v>0</v>
      </c>
    </row>
    <row r="1266" spans="1:19">
      <c r="A1266" t="s">
        <v>7334</v>
      </c>
      <c r="B1266">
        <v>103</v>
      </c>
      <c r="C1266" t="s">
        <v>7328</v>
      </c>
      <c r="D1266" t="s">
        <v>8103</v>
      </c>
      <c r="E1266" t="s">
        <v>8114</v>
      </c>
      <c r="F1266" t="s">
        <v>7293</v>
      </c>
      <c r="G1266">
        <v>-2.75</v>
      </c>
      <c r="H1266">
        <v>-2.75</v>
      </c>
      <c r="L1266" t="s">
        <v>7330</v>
      </c>
      <c r="M1266" t="s">
        <v>7330</v>
      </c>
      <c r="N1266" s="501">
        <v>1197</v>
      </c>
      <c r="P1266">
        <v>791</v>
      </c>
      <c r="Q1266">
        <v>406</v>
      </c>
      <c r="R1266" t="s">
        <v>7329</v>
      </c>
      <c r="S1266">
        <v>0</v>
      </c>
    </row>
    <row r="1267" spans="1:19">
      <c r="A1267" t="s">
        <v>7334</v>
      </c>
      <c r="B1267">
        <v>103</v>
      </c>
      <c r="C1267" t="s">
        <v>7328</v>
      </c>
      <c r="D1267" t="s">
        <v>8103</v>
      </c>
      <c r="E1267" t="s">
        <v>8115</v>
      </c>
      <c r="F1267" t="s">
        <v>7293</v>
      </c>
      <c r="G1267">
        <v>-3</v>
      </c>
      <c r="H1267">
        <v>-3</v>
      </c>
      <c r="L1267" t="s">
        <v>7330</v>
      </c>
      <c r="M1267" t="s">
        <v>7330</v>
      </c>
      <c r="N1267" s="501">
        <v>1196</v>
      </c>
      <c r="P1267">
        <v>791</v>
      </c>
      <c r="Q1267">
        <v>405</v>
      </c>
      <c r="R1267" t="s">
        <v>7329</v>
      </c>
      <c r="S1267">
        <v>0</v>
      </c>
    </row>
    <row r="1268" spans="1:19">
      <c r="A1268" t="s">
        <v>7334</v>
      </c>
      <c r="B1268">
        <v>103</v>
      </c>
      <c r="C1268" t="s">
        <v>7328</v>
      </c>
      <c r="D1268" t="s">
        <v>8103</v>
      </c>
      <c r="E1268" t="s">
        <v>8116</v>
      </c>
      <c r="F1268" t="s">
        <v>7293</v>
      </c>
      <c r="G1268">
        <v>-3.25</v>
      </c>
      <c r="H1268">
        <v>-3.25</v>
      </c>
      <c r="L1268" t="s">
        <v>7330</v>
      </c>
      <c r="M1268" t="s">
        <v>7330</v>
      </c>
      <c r="N1268" s="501">
        <v>1252</v>
      </c>
      <c r="P1268">
        <v>791</v>
      </c>
      <c r="Q1268">
        <v>461</v>
      </c>
      <c r="R1268" t="s">
        <v>7329</v>
      </c>
      <c r="S1268">
        <v>0</v>
      </c>
    </row>
    <row r="1269" spans="1:19">
      <c r="A1269" t="s">
        <v>7334</v>
      </c>
      <c r="B1269">
        <v>103</v>
      </c>
      <c r="C1269" t="s">
        <v>7328</v>
      </c>
      <c r="D1269" t="s">
        <v>8103</v>
      </c>
      <c r="E1269" t="s">
        <v>8117</v>
      </c>
      <c r="F1269" t="s">
        <v>7293</v>
      </c>
      <c r="G1269">
        <v>-3.5</v>
      </c>
      <c r="H1269">
        <v>-3.5</v>
      </c>
      <c r="L1269" t="s">
        <v>7330</v>
      </c>
      <c r="M1269" t="s">
        <v>7330</v>
      </c>
      <c r="N1269" s="501">
        <v>987</v>
      </c>
      <c r="P1269">
        <v>791</v>
      </c>
      <c r="Q1269" s="501">
        <v>196</v>
      </c>
      <c r="R1269" t="s">
        <v>7329</v>
      </c>
      <c r="S1269">
        <v>0</v>
      </c>
    </row>
    <row r="1270" spans="1:19">
      <c r="A1270" t="s">
        <v>7334</v>
      </c>
      <c r="B1270">
        <v>103</v>
      </c>
      <c r="C1270" t="s">
        <v>7328</v>
      </c>
      <c r="D1270" t="s">
        <v>8103</v>
      </c>
      <c r="E1270" t="s">
        <v>8118</v>
      </c>
      <c r="F1270" t="s">
        <v>7293</v>
      </c>
      <c r="G1270">
        <v>-3.75</v>
      </c>
      <c r="H1270">
        <v>-3.75</v>
      </c>
      <c r="L1270" t="s">
        <v>7330</v>
      </c>
      <c r="M1270" t="s">
        <v>7330</v>
      </c>
      <c r="N1270" s="501">
        <v>1381</v>
      </c>
      <c r="P1270">
        <v>791</v>
      </c>
      <c r="Q1270" s="501">
        <v>590</v>
      </c>
      <c r="R1270" t="s">
        <v>7329</v>
      </c>
      <c r="S1270">
        <v>0</v>
      </c>
    </row>
    <row r="1271" spans="1:19">
      <c r="A1271" t="s">
        <v>7334</v>
      </c>
      <c r="B1271">
        <v>103</v>
      </c>
      <c r="C1271" t="s">
        <v>7328</v>
      </c>
      <c r="D1271" t="s">
        <v>8103</v>
      </c>
      <c r="E1271" t="s">
        <v>8119</v>
      </c>
      <c r="F1271" t="s">
        <v>7293</v>
      </c>
      <c r="G1271">
        <v>-4</v>
      </c>
      <c r="H1271">
        <v>-4</v>
      </c>
      <c r="L1271" t="s">
        <v>7330</v>
      </c>
      <c r="M1271" t="s">
        <v>7330</v>
      </c>
      <c r="N1271" s="501">
        <v>1430</v>
      </c>
      <c r="P1271">
        <v>791</v>
      </c>
      <c r="Q1271" s="501">
        <v>639</v>
      </c>
      <c r="R1271" t="s">
        <v>7329</v>
      </c>
      <c r="S1271">
        <v>0</v>
      </c>
    </row>
    <row r="1272" spans="1:19">
      <c r="A1272" t="s">
        <v>7334</v>
      </c>
      <c r="B1272">
        <v>103</v>
      </c>
      <c r="C1272" t="s">
        <v>7328</v>
      </c>
      <c r="D1272" t="s">
        <v>8103</v>
      </c>
      <c r="E1272" t="s">
        <v>8120</v>
      </c>
      <c r="F1272" t="s">
        <v>7293</v>
      </c>
      <c r="G1272">
        <v>-4.25</v>
      </c>
      <c r="H1272">
        <v>-4.25</v>
      </c>
      <c r="L1272" t="s">
        <v>7330</v>
      </c>
      <c r="M1272" t="s">
        <v>7330</v>
      </c>
      <c r="N1272" s="501">
        <v>1206</v>
      </c>
      <c r="P1272">
        <v>791</v>
      </c>
      <c r="Q1272" s="501">
        <v>415</v>
      </c>
      <c r="R1272" t="s">
        <v>7329</v>
      </c>
      <c r="S1272">
        <v>0</v>
      </c>
    </row>
    <row r="1273" spans="1:19">
      <c r="A1273" t="s">
        <v>7334</v>
      </c>
      <c r="B1273">
        <v>103</v>
      </c>
      <c r="C1273" t="s">
        <v>7328</v>
      </c>
      <c r="D1273" t="s">
        <v>8103</v>
      </c>
      <c r="E1273" t="s">
        <v>8121</v>
      </c>
      <c r="F1273" t="s">
        <v>7293</v>
      </c>
      <c r="G1273">
        <v>-4.5</v>
      </c>
      <c r="H1273">
        <v>-4.5</v>
      </c>
      <c r="L1273" t="s">
        <v>7330</v>
      </c>
      <c r="M1273" t="s">
        <v>7330</v>
      </c>
      <c r="N1273" s="501">
        <v>1122</v>
      </c>
      <c r="P1273">
        <v>791</v>
      </c>
      <c r="Q1273" s="501">
        <v>331</v>
      </c>
      <c r="R1273" t="s">
        <v>7329</v>
      </c>
      <c r="S1273">
        <v>0</v>
      </c>
    </row>
    <row r="1274" spans="1:19">
      <c r="A1274" t="s">
        <v>7334</v>
      </c>
      <c r="B1274">
        <v>103</v>
      </c>
      <c r="C1274" t="s">
        <v>7328</v>
      </c>
      <c r="D1274" t="s">
        <v>8103</v>
      </c>
      <c r="E1274" t="s">
        <v>8122</v>
      </c>
      <c r="F1274" t="s">
        <v>7293</v>
      </c>
      <c r="G1274">
        <v>-4.75</v>
      </c>
      <c r="H1274">
        <v>-4.75</v>
      </c>
      <c r="L1274" t="s">
        <v>7330</v>
      </c>
      <c r="M1274" t="s">
        <v>7330</v>
      </c>
      <c r="N1274" s="501">
        <v>1663</v>
      </c>
      <c r="P1274">
        <v>791</v>
      </c>
      <c r="Q1274" s="501">
        <v>872</v>
      </c>
      <c r="R1274" t="s">
        <v>7329</v>
      </c>
      <c r="S1274">
        <v>0</v>
      </c>
    </row>
    <row r="1275" spans="1:19">
      <c r="A1275" t="s">
        <v>7334</v>
      </c>
      <c r="B1275">
        <v>103</v>
      </c>
      <c r="C1275" t="s">
        <v>7328</v>
      </c>
      <c r="D1275" t="s">
        <v>8103</v>
      </c>
      <c r="E1275" t="s">
        <v>8123</v>
      </c>
      <c r="F1275" t="s">
        <v>7293</v>
      </c>
      <c r="G1275">
        <v>-5</v>
      </c>
      <c r="H1275">
        <v>-5</v>
      </c>
      <c r="L1275" t="s">
        <v>7330</v>
      </c>
      <c r="M1275" t="s">
        <v>7330</v>
      </c>
      <c r="N1275" s="501">
        <v>1406</v>
      </c>
      <c r="P1275">
        <v>791</v>
      </c>
      <c r="Q1275" s="501">
        <v>615</v>
      </c>
      <c r="R1275" t="s">
        <v>7329</v>
      </c>
      <c r="S1275">
        <v>0</v>
      </c>
    </row>
    <row r="1276" spans="1:19">
      <c r="A1276" t="s">
        <v>7334</v>
      </c>
      <c r="B1276">
        <v>103</v>
      </c>
      <c r="C1276" t="s">
        <v>7328</v>
      </c>
      <c r="D1276" t="s">
        <v>8103</v>
      </c>
      <c r="E1276" t="s">
        <v>8124</v>
      </c>
      <c r="F1276" t="s">
        <v>7293</v>
      </c>
      <c r="G1276">
        <v>-5.25</v>
      </c>
      <c r="H1276">
        <v>-5.25</v>
      </c>
      <c r="L1276" t="s">
        <v>7330</v>
      </c>
      <c r="M1276" t="s">
        <v>7330</v>
      </c>
      <c r="N1276" s="501">
        <v>934</v>
      </c>
      <c r="P1276">
        <v>750</v>
      </c>
      <c r="Q1276" s="501">
        <v>184</v>
      </c>
      <c r="R1276" t="s">
        <v>7329</v>
      </c>
      <c r="S1276">
        <v>0</v>
      </c>
    </row>
    <row r="1277" spans="1:19">
      <c r="A1277" t="s">
        <v>7334</v>
      </c>
      <c r="B1277">
        <v>103</v>
      </c>
      <c r="C1277" t="s">
        <v>7328</v>
      </c>
      <c r="D1277" t="s">
        <v>8103</v>
      </c>
      <c r="E1277" t="s">
        <v>8125</v>
      </c>
      <c r="F1277" t="s">
        <v>7293</v>
      </c>
      <c r="G1277">
        <v>-5.5</v>
      </c>
      <c r="H1277">
        <v>-5.5</v>
      </c>
      <c r="L1277" t="s">
        <v>7330</v>
      </c>
      <c r="M1277" t="s">
        <v>7330</v>
      </c>
      <c r="N1277" s="501">
        <v>1006</v>
      </c>
      <c r="P1277">
        <v>791</v>
      </c>
      <c r="Q1277" s="501">
        <v>215</v>
      </c>
      <c r="R1277" t="s">
        <v>7329</v>
      </c>
      <c r="S1277">
        <v>0</v>
      </c>
    </row>
    <row r="1278" spans="1:19">
      <c r="A1278" t="s">
        <v>7334</v>
      </c>
      <c r="B1278">
        <v>103</v>
      </c>
      <c r="C1278" t="s">
        <v>7328</v>
      </c>
      <c r="D1278" t="s">
        <v>8103</v>
      </c>
      <c r="E1278" t="s">
        <v>8126</v>
      </c>
      <c r="F1278" t="s">
        <v>7293</v>
      </c>
      <c r="G1278">
        <v>-5.75</v>
      </c>
      <c r="H1278">
        <v>-5.75</v>
      </c>
      <c r="L1278" t="s">
        <v>7330</v>
      </c>
      <c r="M1278" t="s">
        <v>7330</v>
      </c>
      <c r="N1278" s="501">
        <v>1156</v>
      </c>
      <c r="P1278">
        <v>750</v>
      </c>
      <c r="Q1278" s="501">
        <v>406</v>
      </c>
      <c r="R1278" t="s">
        <v>7329</v>
      </c>
      <c r="S1278">
        <v>0</v>
      </c>
    </row>
    <row r="1279" spans="1:19">
      <c r="A1279" t="s">
        <v>7334</v>
      </c>
      <c r="B1279">
        <v>103</v>
      </c>
      <c r="C1279" t="s">
        <v>7328</v>
      </c>
      <c r="D1279" t="s">
        <v>8103</v>
      </c>
      <c r="E1279" t="s">
        <v>8127</v>
      </c>
      <c r="F1279" t="s">
        <v>7293</v>
      </c>
      <c r="G1279">
        <v>-6</v>
      </c>
      <c r="H1279">
        <v>-6</v>
      </c>
      <c r="L1279" t="s">
        <v>7330</v>
      </c>
      <c r="M1279" t="s">
        <v>7330</v>
      </c>
      <c r="N1279" s="501">
        <v>1105</v>
      </c>
      <c r="P1279">
        <v>791</v>
      </c>
      <c r="Q1279" s="501">
        <v>314</v>
      </c>
      <c r="R1279" t="s">
        <v>7329</v>
      </c>
      <c r="S1279">
        <v>0</v>
      </c>
    </row>
    <row r="1280" spans="1:19">
      <c r="A1280" t="s">
        <v>7334</v>
      </c>
      <c r="B1280">
        <v>103</v>
      </c>
      <c r="C1280" t="s">
        <v>7328</v>
      </c>
      <c r="D1280" t="s">
        <v>8103</v>
      </c>
      <c r="E1280" t="s">
        <v>8128</v>
      </c>
      <c r="F1280" t="s">
        <v>7293</v>
      </c>
      <c r="G1280">
        <v>-6.5</v>
      </c>
      <c r="H1280">
        <v>-6.5</v>
      </c>
      <c r="L1280" t="s">
        <v>7330</v>
      </c>
      <c r="M1280" t="s">
        <v>7330</v>
      </c>
      <c r="N1280" s="501">
        <v>1039</v>
      </c>
      <c r="P1280">
        <v>799</v>
      </c>
      <c r="Q1280" s="501">
        <v>240</v>
      </c>
      <c r="R1280" t="s">
        <v>7329</v>
      </c>
      <c r="S1280">
        <v>0</v>
      </c>
    </row>
    <row r="1281" spans="1:19">
      <c r="A1281" t="s">
        <v>7334</v>
      </c>
      <c r="B1281">
        <v>103</v>
      </c>
      <c r="C1281" t="s">
        <v>7328</v>
      </c>
      <c r="D1281" t="s">
        <v>8103</v>
      </c>
      <c r="E1281" t="s">
        <v>8129</v>
      </c>
      <c r="F1281" t="s">
        <v>7293</v>
      </c>
      <c r="G1281">
        <v>-7</v>
      </c>
      <c r="H1281">
        <v>-7</v>
      </c>
      <c r="L1281" t="s">
        <v>7330</v>
      </c>
      <c r="M1281" t="s">
        <v>7330</v>
      </c>
      <c r="N1281" s="501">
        <v>992</v>
      </c>
      <c r="P1281">
        <v>751</v>
      </c>
      <c r="Q1281" s="501">
        <v>241</v>
      </c>
      <c r="R1281" t="s">
        <v>7329</v>
      </c>
      <c r="S1281">
        <v>0</v>
      </c>
    </row>
    <row r="1282" spans="1:19">
      <c r="A1282" t="s">
        <v>7334</v>
      </c>
      <c r="B1282">
        <v>103</v>
      </c>
      <c r="C1282" t="s">
        <v>7328</v>
      </c>
      <c r="D1282" t="s">
        <v>8103</v>
      </c>
      <c r="E1282" t="s">
        <v>8130</v>
      </c>
      <c r="F1282" t="s">
        <v>7293</v>
      </c>
      <c r="G1282">
        <v>-7.5</v>
      </c>
      <c r="H1282">
        <v>-7.5</v>
      </c>
      <c r="L1282" t="s">
        <v>7330</v>
      </c>
      <c r="M1282" t="s">
        <v>7330</v>
      </c>
      <c r="N1282" s="501">
        <v>1264</v>
      </c>
      <c r="P1282">
        <v>728</v>
      </c>
      <c r="Q1282" s="501">
        <v>536</v>
      </c>
      <c r="R1282" t="s">
        <v>7329</v>
      </c>
      <c r="S1282">
        <v>0</v>
      </c>
    </row>
    <row r="1283" spans="1:19">
      <c r="A1283" t="s">
        <v>7334</v>
      </c>
      <c r="B1283">
        <v>103</v>
      </c>
      <c r="C1283" t="s">
        <v>7328</v>
      </c>
      <c r="D1283" t="s">
        <v>8103</v>
      </c>
      <c r="E1283" t="s">
        <v>8131</v>
      </c>
      <c r="F1283" t="s">
        <v>7293</v>
      </c>
      <c r="G1283">
        <v>-8</v>
      </c>
      <c r="H1283">
        <v>-8</v>
      </c>
      <c r="L1283" t="s">
        <v>7330</v>
      </c>
      <c r="M1283" t="s">
        <v>7330</v>
      </c>
      <c r="N1283" s="501">
        <v>1175</v>
      </c>
      <c r="P1283">
        <v>728</v>
      </c>
      <c r="Q1283" s="501">
        <v>447</v>
      </c>
      <c r="R1283" t="s">
        <v>7329</v>
      </c>
      <c r="S1283">
        <v>0</v>
      </c>
    </row>
    <row r="1284" spans="1:19">
      <c r="A1284" t="s">
        <v>7334</v>
      </c>
      <c r="B1284">
        <v>103</v>
      </c>
      <c r="C1284" t="s">
        <v>7328</v>
      </c>
      <c r="D1284" t="s">
        <v>8132</v>
      </c>
      <c r="E1284" t="s">
        <v>8133</v>
      </c>
      <c r="F1284" t="s">
        <v>7292</v>
      </c>
      <c r="G1284">
        <v>0</v>
      </c>
      <c r="H1284">
        <v>0</v>
      </c>
      <c r="L1284" t="s">
        <v>7330</v>
      </c>
      <c r="M1284" t="s">
        <v>7330</v>
      </c>
      <c r="N1284" s="501">
        <v>885</v>
      </c>
      <c r="P1284">
        <v>444</v>
      </c>
      <c r="Q1284" s="501">
        <v>441</v>
      </c>
      <c r="R1284" t="s">
        <v>7329</v>
      </c>
      <c r="S1284">
        <v>0</v>
      </c>
    </row>
    <row r="1285" spans="1:19">
      <c r="A1285" t="s">
        <v>7334</v>
      </c>
      <c r="B1285">
        <v>103</v>
      </c>
      <c r="C1285" t="s">
        <v>7328</v>
      </c>
      <c r="D1285" t="s">
        <v>8132</v>
      </c>
      <c r="E1285" t="s">
        <v>8134</v>
      </c>
      <c r="F1285" t="s">
        <v>7292</v>
      </c>
      <c r="G1285">
        <v>-0.5</v>
      </c>
      <c r="H1285">
        <v>-0.5</v>
      </c>
      <c r="L1285" t="s">
        <v>7330</v>
      </c>
      <c r="M1285" t="s">
        <v>7330</v>
      </c>
      <c r="N1285" s="501">
        <v>870</v>
      </c>
      <c r="P1285">
        <v>403</v>
      </c>
      <c r="Q1285" s="501">
        <v>467</v>
      </c>
      <c r="R1285" t="s">
        <v>7329</v>
      </c>
      <c r="S1285">
        <v>0</v>
      </c>
    </row>
    <row r="1286" spans="1:19">
      <c r="A1286" t="s">
        <v>7334</v>
      </c>
      <c r="B1286">
        <v>103</v>
      </c>
      <c r="C1286" t="s">
        <v>7328</v>
      </c>
      <c r="D1286" t="s">
        <v>8132</v>
      </c>
      <c r="E1286" t="s">
        <v>9161</v>
      </c>
      <c r="F1286" t="s">
        <v>7292</v>
      </c>
      <c r="G1286">
        <v>-0.75</v>
      </c>
      <c r="H1286">
        <v>-0.75</v>
      </c>
      <c r="L1286" t="s">
        <v>7330</v>
      </c>
      <c r="M1286" t="s">
        <v>7330</v>
      </c>
      <c r="N1286" s="501">
        <v>527</v>
      </c>
      <c r="P1286">
        <v>356</v>
      </c>
      <c r="Q1286" s="501">
        <v>171</v>
      </c>
      <c r="R1286" t="s">
        <v>7329</v>
      </c>
      <c r="S1286">
        <v>0</v>
      </c>
    </row>
    <row r="1287" spans="1:19">
      <c r="A1287" t="s">
        <v>7334</v>
      </c>
      <c r="B1287">
        <v>103</v>
      </c>
      <c r="C1287" t="s">
        <v>7328</v>
      </c>
      <c r="D1287" t="s">
        <v>8132</v>
      </c>
      <c r="E1287" t="s">
        <v>8135</v>
      </c>
      <c r="F1287" t="s">
        <v>7292</v>
      </c>
      <c r="G1287">
        <v>-1</v>
      </c>
      <c r="H1287">
        <v>-1</v>
      </c>
      <c r="L1287" t="s">
        <v>7330</v>
      </c>
      <c r="M1287" t="s">
        <v>7330</v>
      </c>
      <c r="N1287" s="501">
        <v>517</v>
      </c>
      <c r="P1287">
        <v>444</v>
      </c>
      <c r="Q1287" s="501">
        <v>73</v>
      </c>
      <c r="R1287" t="s">
        <v>7329</v>
      </c>
      <c r="S1287">
        <v>0</v>
      </c>
    </row>
    <row r="1288" spans="1:19">
      <c r="A1288" t="s">
        <v>7334</v>
      </c>
      <c r="B1288">
        <v>103</v>
      </c>
      <c r="C1288" t="s">
        <v>7328</v>
      </c>
      <c r="D1288" t="s">
        <v>8132</v>
      </c>
      <c r="E1288" t="s">
        <v>8136</v>
      </c>
      <c r="F1288" t="s">
        <v>7292</v>
      </c>
      <c r="G1288">
        <v>-1.25</v>
      </c>
      <c r="H1288">
        <v>-1.25</v>
      </c>
      <c r="L1288" t="s">
        <v>7330</v>
      </c>
      <c r="M1288" t="s">
        <v>7330</v>
      </c>
      <c r="N1288" s="501">
        <v>1455</v>
      </c>
      <c r="P1288">
        <v>794</v>
      </c>
      <c r="Q1288" s="501">
        <v>661</v>
      </c>
      <c r="R1288" t="s">
        <v>7329</v>
      </c>
      <c r="S1288">
        <v>0</v>
      </c>
    </row>
    <row r="1289" spans="1:19">
      <c r="A1289" t="s">
        <v>7334</v>
      </c>
      <c r="B1289">
        <v>103</v>
      </c>
      <c r="C1289" t="s">
        <v>7328</v>
      </c>
      <c r="D1289" t="s">
        <v>8132</v>
      </c>
      <c r="E1289" t="s">
        <v>8137</v>
      </c>
      <c r="F1289" t="s">
        <v>7292</v>
      </c>
      <c r="G1289">
        <v>-1.5</v>
      </c>
      <c r="H1289">
        <v>-1.5</v>
      </c>
      <c r="L1289" t="s">
        <v>7330</v>
      </c>
      <c r="M1289" t="s">
        <v>7330</v>
      </c>
      <c r="N1289" s="501">
        <v>1127</v>
      </c>
      <c r="P1289">
        <v>794</v>
      </c>
      <c r="Q1289" s="501">
        <v>333</v>
      </c>
      <c r="R1289" t="s">
        <v>7329</v>
      </c>
      <c r="S1289">
        <v>0</v>
      </c>
    </row>
    <row r="1290" spans="1:19">
      <c r="A1290" t="s">
        <v>7334</v>
      </c>
      <c r="B1290">
        <v>103</v>
      </c>
      <c r="C1290" t="s">
        <v>7328</v>
      </c>
      <c r="D1290" t="s">
        <v>8132</v>
      </c>
      <c r="E1290" t="s">
        <v>8138</v>
      </c>
      <c r="F1290" t="s">
        <v>7292</v>
      </c>
      <c r="G1290">
        <v>-1.75</v>
      </c>
      <c r="H1290">
        <v>-1.75</v>
      </c>
      <c r="L1290" t="s">
        <v>7330</v>
      </c>
      <c r="M1290" t="s">
        <v>7330</v>
      </c>
      <c r="N1290" s="501">
        <v>1769</v>
      </c>
      <c r="P1290">
        <v>794</v>
      </c>
      <c r="Q1290" s="501">
        <v>975</v>
      </c>
      <c r="R1290" t="s">
        <v>7329</v>
      </c>
      <c r="S1290">
        <v>0</v>
      </c>
    </row>
    <row r="1291" spans="1:19">
      <c r="A1291" t="s">
        <v>7334</v>
      </c>
      <c r="B1291">
        <v>103</v>
      </c>
      <c r="C1291" t="s">
        <v>7328</v>
      </c>
      <c r="D1291" t="s">
        <v>8132</v>
      </c>
      <c r="E1291" t="s">
        <v>8139</v>
      </c>
      <c r="F1291" t="s">
        <v>7292</v>
      </c>
      <c r="G1291">
        <v>-2</v>
      </c>
      <c r="H1291">
        <v>-2</v>
      </c>
      <c r="L1291" t="s">
        <v>7330</v>
      </c>
      <c r="M1291" t="s">
        <v>7330</v>
      </c>
      <c r="N1291" s="501">
        <v>1534</v>
      </c>
      <c r="P1291">
        <v>794</v>
      </c>
      <c r="Q1291" s="501">
        <v>740</v>
      </c>
      <c r="R1291" t="s">
        <v>7329</v>
      </c>
      <c r="S1291">
        <v>0</v>
      </c>
    </row>
    <row r="1292" spans="1:19">
      <c r="A1292" t="s">
        <v>7334</v>
      </c>
      <c r="B1292">
        <v>103</v>
      </c>
      <c r="C1292" t="s">
        <v>7328</v>
      </c>
      <c r="D1292" t="s">
        <v>8132</v>
      </c>
      <c r="E1292" t="s">
        <v>8140</v>
      </c>
      <c r="F1292" t="s">
        <v>7292</v>
      </c>
      <c r="G1292">
        <v>-2.25</v>
      </c>
      <c r="H1292">
        <v>-2.25</v>
      </c>
      <c r="L1292" t="s">
        <v>7330</v>
      </c>
      <c r="M1292" t="s">
        <v>7330</v>
      </c>
      <c r="N1292" s="501">
        <v>1583</v>
      </c>
      <c r="P1292">
        <v>794</v>
      </c>
      <c r="Q1292" s="501">
        <v>789</v>
      </c>
      <c r="R1292" t="s">
        <v>7329</v>
      </c>
      <c r="S1292">
        <v>0</v>
      </c>
    </row>
    <row r="1293" spans="1:19">
      <c r="A1293" t="s">
        <v>7334</v>
      </c>
      <c r="B1293">
        <v>103</v>
      </c>
      <c r="C1293" t="s">
        <v>7328</v>
      </c>
      <c r="D1293" t="s">
        <v>8132</v>
      </c>
      <c r="E1293" t="s">
        <v>8141</v>
      </c>
      <c r="F1293" t="s">
        <v>7292</v>
      </c>
      <c r="G1293">
        <v>-2.5</v>
      </c>
      <c r="H1293">
        <v>-2.5</v>
      </c>
      <c r="L1293" t="s">
        <v>7330</v>
      </c>
      <c r="M1293" t="s">
        <v>7330</v>
      </c>
      <c r="N1293" s="501">
        <v>1918</v>
      </c>
      <c r="P1293">
        <v>794</v>
      </c>
      <c r="Q1293" s="501">
        <v>1124</v>
      </c>
      <c r="R1293" t="s">
        <v>7329</v>
      </c>
      <c r="S1293">
        <v>0</v>
      </c>
    </row>
    <row r="1294" spans="1:19">
      <c r="A1294" t="s">
        <v>7334</v>
      </c>
      <c r="B1294">
        <v>103</v>
      </c>
      <c r="C1294" t="s">
        <v>7328</v>
      </c>
      <c r="D1294" t="s">
        <v>8132</v>
      </c>
      <c r="E1294" t="s">
        <v>8142</v>
      </c>
      <c r="F1294" t="s">
        <v>7292</v>
      </c>
      <c r="G1294">
        <v>-2.75</v>
      </c>
      <c r="H1294">
        <v>-2.75</v>
      </c>
      <c r="L1294" t="s">
        <v>7330</v>
      </c>
      <c r="M1294" t="s">
        <v>7330</v>
      </c>
      <c r="N1294" s="501">
        <v>938</v>
      </c>
      <c r="P1294">
        <v>794</v>
      </c>
      <c r="Q1294" s="501">
        <v>144</v>
      </c>
      <c r="R1294" t="s">
        <v>7329</v>
      </c>
      <c r="S1294">
        <v>0</v>
      </c>
    </row>
    <row r="1295" spans="1:19">
      <c r="A1295" t="s">
        <v>7334</v>
      </c>
      <c r="B1295">
        <v>103</v>
      </c>
      <c r="C1295" t="s">
        <v>7328</v>
      </c>
      <c r="D1295" t="s">
        <v>8132</v>
      </c>
      <c r="E1295" t="s">
        <v>8143</v>
      </c>
      <c r="F1295" t="s">
        <v>7292</v>
      </c>
      <c r="G1295">
        <v>-3</v>
      </c>
      <c r="H1295">
        <v>-3</v>
      </c>
      <c r="L1295" t="s">
        <v>7330</v>
      </c>
      <c r="M1295" t="s">
        <v>7330</v>
      </c>
      <c r="N1295" s="501">
        <v>1077</v>
      </c>
      <c r="P1295">
        <v>794</v>
      </c>
      <c r="Q1295" s="501">
        <v>283</v>
      </c>
      <c r="R1295" t="s">
        <v>7329</v>
      </c>
      <c r="S1295">
        <v>0</v>
      </c>
    </row>
    <row r="1296" spans="1:19">
      <c r="A1296" t="s">
        <v>7334</v>
      </c>
      <c r="B1296">
        <v>103</v>
      </c>
      <c r="C1296" t="s">
        <v>7328</v>
      </c>
      <c r="D1296" t="s">
        <v>8132</v>
      </c>
      <c r="E1296" t="s">
        <v>8144</v>
      </c>
      <c r="F1296" t="s">
        <v>7292</v>
      </c>
      <c r="G1296">
        <v>-3.25</v>
      </c>
      <c r="H1296">
        <v>-3.25</v>
      </c>
      <c r="L1296" t="s">
        <v>7330</v>
      </c>
      <c r="M1296" t="s">
        <v>7330</v>
      </c>
      <c r="N1296" s="501">
        <v>1225</v>
      </c>
      <c r="P1296">
        <v>794</v>
      </c>
      <c r="Q1296" s="501">
        <v>431</v>
      </c>
      <c r="R1296" t="s">
        <v>7329</v>
      </c>
      <c r="S1296">
        <v>0</v>
      </c>
    </row>
    <row r="1297" spans="1:19">
      <c r="A1297" t="s">
        <v>7334</v>
      </c>
      <c r="B1297">
        <v>103</v>
      </c>
      <c r="C1297" t="s">
        <v>7328</v>
      </c>
      <c r="D1297" t="s">
        <v>8132</v>
      </c>
      <c r="E1297" t="s">
        <v>8145</v>
      </c>
      <c r="F1297" t="s">
        <v>7292</v>
      </c>
      <c r="G1297">
        <v>-3.5</v>
      </c>
      <c r="H1297">
        <v>-3.5</v>
      </c>
      <c r="L1297" t="s">
        <v>7330</v>
      </c>
      <c r="M1297" t="s">
        <v>7330</v>
      </c>
      <c r="N1297" s="501">
        <v>918</v>
      </c>
      <c r="P1297">
        <v>794</v>
      </c>
      <c r="Q1297" s="501">
        <v>124</v>
      </c>
      <c r="R1297" t="s">
        <v>7329</v>
      </c>
      <c r="S1297">
        <v>0</v>
      </c>
    </row>
    <row r="1298" spans="1:19">
      <c r="A1298" t="s">
        <v>7334</v>
      </c>
      <c r="B1298">
        <v>103</v>
      </c>
      <c r="C1298" t="s">
        <v>7328</v>
      </c>
      <c r="D1298" t="s">
        <v>8132</v>
      </c>
      <c r="E1298" t="s">
        <v>8146</v>
      </c>
      <c r="F1298" t="s">
        <v>7292</v>
      </c>
      <c r="G1298">
        <v>-3.75</v>
      </c>
      <c r="H1298">
        <v>-3.75</v>
      </c>
      <c r="L1298" t="s">
        <v>7330</v>
      </c>
      <c r="M1298" t="s">
        <v>7330</v>
      </c>
      <c r="N1298" s="501">
        <v>1574</v>
      </c>
      <c r="P1298">
        <v>794</v>
      </c>
      <c r="Q1298" s="501">
        <v>780</v>
      </c>
      <c r="R1298" t="s">
        <v>7329</v>
      </c>
      <c r="S1298">
        <v>0</v>
      </c>
    </row>
    <row r="1299" spans="1:19">
      <c r="A1299" t="s">
        <v>7334</v>
      </c>
      <c r="B1299">
        <v>103</v>
      </c>
      <c r="C1299" t="s">
        <v>7328</v>
      </c>
      <c r="D1299" t="s">
        <v>8132</v>
      </c>
      <c r="E1299" t="s">
        <v>8147</v>
      </c>
      <c r="F1299" t="s">
        <v>7292</v>
      </c>
      <c r="G1299">
        <v>-4</v>
      </c>
      <c r="H1299">
        <v>-4</v>
      </c>
      <c r="L1299" t="s">
        <v>7330</v>
      </c>
      <c r="M1299" t="s">
        <v>7330</v>
      </c>
      <c r="N1299" s="501">
        <v>1436</v>
      </c>
      <c r="P1299">
        <v>794</v>
      </c>
      <c r="Q1299" s="501">
        <v>642</v>
      </c>
      <c r="R1299" t="s">
        <v>7329</v>
      </c>
      <c r="S1299">
        <v>0</v>
      </c>
    </row>
    <row r="1300" spans="1:19">
      <c r="A1300" t="s">
        <v>7334</v>
      </c>
      <c r="B1300">
        <v>103</v>
      </c>
      <c r="C1300" t="s">
        <v>7328</v>
      </c>
      <c r="D1300" t="s">
        <v>8132</v>
      </c>
      <c r="E1300" t="s">
        <v>8148</v>
      </c>
      <c r="F1300" t="s">
        <v>7292</v>
      </c>
      <c r="G1300">
        <v>-4.25</v>
      </c>
      <c r="H1300">
        <v>-4.25</v>
      </c>
      <c r="L1300" t="s">
        <v>7330</v>
      </c>
      <c r="M1300" t="s">
        <v>7330</v>
      </c>
      <c r="N1300" s="501">
        <v>1215</v>
      </c>
      <c r="P1300">
        <v>794</v>
      </c>
      <c r="Q1300" s="501">
        <v>421</v>
      </c>
      <c r="R1300" t="s">
        <v>7329</v>
      </c>
      <c r="S1300">
        <v>0</v>
      </c>
    </row>
    <row r="1301" spans="1:19">
      <c r="A1301" t="s">
        <v>7334</v>
      </c>
      <c r="B1301">
        <v>103</v>
      </c>
      <c r="C1301" t="s">
        <v>7328</v>
      </c>
      <c r="D1301" t="s">
        <v>8132</v>
      </c>
      <c r="E1301" t="s">
        <v>8149</v>
      </c>
      <c r="F1301" t="s">
        <v>7292</v>
      </c>
      <c r="G1301">
        <v>-4.5</v>
      </c>
      <c r="H1301">
        <v>-4.5</v>
      </c>
      <c r="L1301" t="s">
        <v>7330</v>
      </c>
      <c r="M1301" t="s">
        <v>7330</v>
      </c>
      <c r="N1301" s="501">
        <v>1061</v>
      </c>
      <c r="P1301">
        <v>794</v>
      </c>
      <c r="Q1301" s="501">
        <v>267</v>
      </c>
      <c r="R1301" t="s">
        <v>7329</v>
      </c>
      <c r="S1301">
        <v>0</v>
      </c>
    </row>
    <row r="1302" spans="1:19">
      <c r="A1302" t="s">
        <v>7334</v>
      </c>
      <c r="B1302">
        <v>103</v>
      </c>
      <c r="C1302" t="s">
        <v>7328</v>
      </c>
      <c r="D1302" t="s">
        <v>8132</v>
      </c>
      <c r="E1302" t="s">
        <v>8150</v>
      </c>
      <c r="F1302" t="s">
        <v>7292</v>
      </c>
      <c r="G1302">
        <v>-4.75</v>
      </c>
      <c r="H1302">
        <v>-4.75</v>
      </c>
      <c r="L1302" t="s">
        <v>7330</v>
      </c>
      <c r="M1302" t="s">
        <v>7330</v>
      </c>
      <c r="N1302" s="501">
        <v>1728</v>
      </c>
      <c r="P1302">
        <v>794</v>
      </c>
      <c r="Q1302" s="501">
        <v>934</v>
      </c>
      <c r="R1302" t="s">
        <v>7329</v>
      </c>
      <c r="S1302">
        <v>0</v>
      </c>
    </row>
    <row r="1303" spans="1:19">
      <c r="A1303" t="s">
        <v>7334</v>
      </c>
      <c r="B1303">
        <v>103</v>
      </c>
      <c r="C1303" t="s">
        <v>7328</v>
      </c>
      <c r="D1303" t="s">
        <v>8132</v>
      </c>
      <c r="E1303" t="s">
        <v>8151</v>
      </c>
      <c r="F1303" t="s">
        <v>7292</v>
      </c>
      <c r="G1303">
        <v>-5</v>
      </c>
      <c r="H1303">
        <v>-5</v>
      </c>
      <c r="L1303" t="s">
        <v>7330</v>
      </c>
      <c r="M1303" t="s">
        <v>7330</v>
      </c>
      <c r="N1303" s="501">
        <v>1387</v>
      </c>
      <c r="P1303">
        <v>794</v>
      </c>
      <c r="Q1303" s="501">
        <v>593</v>
      </c>
      <c r="R1303" t="s">
        <v>7329</v>
      </c>
      <c r="S1303">
        <v>0</v>
      </c>
    </row>
    <row r="1304" spans="1:19">
      <c r="A1304" t="s">
        <v>7334</v>
      </c>
      <c r="B1304">
        <v>103</v>
      </c>
      <c r="C1304" t="s">
        <v>7328</v>
      </c>
      <c r="D1304" t="s">
        <v>8132</v>
      </c>
      <c r="E1304" t="s">
        <v>8152</v>
      </c>
      <c r="F1304" t="s">
        <v>7292</v>
      </c>
      <c r="G1304">
        <v>-5.25</v>
      </c>
      <c r="H1304">
        <v>-5.25</v>
      </c>
      <c r="L1304" t="s">
        <v>7330</v>
      </c>
      <c r="M1304" t="s">
        <v>7330</v>
      </c>
      <c r="N1304" s="501">
        <v>1559</v>
      </c>
      <c r="P1304">
        <v>753</v>
      </c>
      <c r="Q1304" s="501">
        <v>806</v>
      </c>
      <c r="R1304" t="s">
        <v>7329</v>
      </c>
      <c r="S1304">
        <v>0</v>
      </c>
    </row>
    <row r="1305" spans="1:19">
      <c r="A1305" t="s">
        <v>7334</v>
      </c>
      <c r="B1305">
        <v>103</v>
      </c>
      <c r="C1305" t="s">
        <v>7328</v>
      </c>
      <c r="D1305" t="s">
        <v>8132</v>
      </c>
      <c r="E1305" t="s">
        <v>8153</v>
      </c>
      <c r="F1305" t="s">
        <v>7292</v>
      </c>
      <c r="G1305">
        <v>-5.5</v>
      </c>
      <c r="H1305">
        <v>-5.5</v>
      </c>
      <c r="L1305" t="s">
        <v>7330</v>
      </c>
      <c r="M1305" t="s">
        <v>7330</v>
      </c>
      <c r="N1305" s="501">
        <v>1195</v>
      </c>
      <c r="P1305">
        <v>794</v>
      </c>
      <c r="Q1305" s="501">
        <v>401</v>
      </c>
      <c r="R1305" t="s">
        <v>7329</v>
      </c>
      <c r="S1305">
        <v>0</v>
      </c>
    </row>
    <row r="1306" spans="1:19">
      <c r="A1306" t="s">
        <v>7334</v>
      </c>
      <c r="B1306">
        <v>103</v>
      </c>
      <c r="C1306" t="s">
        <v>7328</v>
      </c>
      <c r="D1306" t="s">
        <v>8132</v>
      </c>
      <c r="E1306" t="s">
        <v>8154</v>
      </c>
      <c r="F1306" t="s">
        <v>7292</v>
      </c>
      <c r="G1306">
        <v>-5.75</v>
      </c>
      <c r="H1306">
        <v>-5.75</v>
      </c>
      <c r="L1306" t="s">
        <v>7330</v>
      </c>
      <c r="M1306" t="s">
        <v>7330</v>
      </c>
      <c r="N1306" s="501">
        <v>1342</v>
      </c>
      <c r="P1306">
        <v>753</v>
      </c>
      <c r="Q1306" s="501">
        <v>589</v>
      </c>
      <c r="R1306" t="s">
        <v>7329</v>
      </c>
      <c r="S1306">
        <v>0</v>
      </c>
    </row>
    <row r="1307" spans="1:19">
      <c r="A1307" t="s">
        <v>7334</v>
      </c>
      <c r="B1307">
        <v>103</v>
      </c>
      <c r="C1307" t="s">
        <v>7328</v>
      </c>
      <c r="D1307" t="s">
        <v>8132</v>
      </c>
      <c r="E1307" t="s">
        <v>8155</v>
      </c>
      <c r="F1307" t="s">
        <v>7292</v>
      </c>
      <c r="G1307">
        <v>-6</v>
      </c>
      <c r="H1307">
        <v>-6</v>
      </c>
      <c r="L1307" t="s">
        <v>7330</v>
      </c>
      <c r="M1307" t="s">
        <v>7330</v>
      </c>
      <c r="N1307" s="501">
        <v>1199</v>
      </c>
      <c r="P1307">
        <v>794</v>
      </c>
      <c r="Q1307" s="501">
        <v>405</v>
      </c>
      <c r="R1307" t="s">
        <v>7329</v>
      </c>
      <c r="S1307">
        <v>0</v>
      </c>
    </row>
    <row r="1308" spans="1:19">
      <c r="A1308" t="s">
        <v>7334</v>
      </c>
      <c r="B1308">
        <v>103</v>
      </c>
      <c r="C1308" t="s">
        <v>7328</v>
      </c>
      <c r="D1308" t="s">
        <v>8132</v>
      </c>
      <c r="E1308" t="s">
        <v>8156</v>
      </c>
      <c r="F1308" t="s">
        <v>7292</v>
      </c>
      <c r="G1308">
        <v>-6.5</v>
      </c>
      <c r="H1308">
        <v>-6.5</v>
      </c>
      <c r="L1308" t="s">
        <v>7330</v>
      </c>
      <c r="M1308" t="s">
        <v>7330</v>
      </c>
      <c r="N1308" s="501">
        <v>983</v>
      </c>
      <c r="P1308">
        <v>794</v>
      </c>
      <c r="Q1308">
        <v>189</v>
      </c>
      <c r="R1308" t="s">
        <v>7329</v>
      </c>
      <c r="S1308">
        <v>0</v>
      </c>
    </row>
    <row r="1309" spans="1:19">
      <c r="A1309" t="s">
        <v>7334</v>
      </c>
      <c r="B1309">
        <v>103</v>
      </c>
      <c r="C1309" t="s">
        <v>7328</v>
      </c>
      <c r="D1309" t="s">
        <v>8132</v>
      </c>
      <c r="E1309" t="s">
        <v>8157</v>
      </c>
      <c r="F1309" t="s">
        <v>7292</v>
      </c>
      <c r="G1309">
        <v>-7</v>
      </c>
      <c r="H1309">
        <v>-7</v>
      </c>
      <c r="L1309" t="s">
        <v>7330</v>
      </c>
      <c r="M1309" t="s">
        <v>7330</v>
      </c>
      <c r="N1309" s="501">
        <v>1083</v>
      </c>
      <c r="P1309">
        <v>754</v>
      </c>
      <c r="Q1309" s="501">
        <v>329</v>
      </c>
      <c r="R1309" t="s">
        <v>7329</v>
      </c>
      <c r="S1309">
        <v>0</v>
      </c>
    </row>
    <row r="1310" spans="1:19">
      <c r="A1310" t="s">
        <v>7334</v>
      </c>
      <c r="B1310">
        <v>103</v>
      </c>
      <c r="C1310" t="s">
        <v>7328</v>
      </c>
      <c r="D1310" t="s">
        <v>8132</v>
      </c>
      <c r="E1310" t="s">
        <v>8158</v>
      </c>
      <c r="F1310" t="s">
        <v>7292</v>
      </c>
      <c r="G1310">
        <v>-7.5</v>
      </c>
      <c r="H1310">
        <v>-7.5</v>
      </c>
      <c r="L1310" t="s">
        <v>7330</v>
      </c>
      <c r="M1310" t="s">
        <v>7330</v>
      </c>
      <c r="N1310" s="501">
        <v>1927</v>
      </c>
      <c r="P1310">
        <v>731</v>
      </c>
      <c r="Q1310" s="501">
        <v>1196</v>
      </c>
      <c r="R1310" t="s">
        <v>7329</v>
      </c>
      <c r="S1310">
        <v>0</v>
      </c>
    </row>
    <row r="1311" spans="1:19">
      <c r="A1311" t="s">
        <v>7334</v>
      </c>
      <c r="B1311">
        <v>103</v>
      </c>
      <c r="C1311" t="s">
        <v>7328</v>
      </c>
      <c r="D1311" t="s">
        <v>8132</v>
      </c>
      <c r="E1311" t="s">
        <v>8159</v>
      </c>
      <c r="F1311" t="s">
        <v>7292</v>
      </c>
      <c r="G1311">
        <v>-8</v>
      </c>
      <c r="H1311">
        <v>-8</v>
      </c>
      <c r="L1311" t="s">
        <v>7330</v>
      </c>
      <c r="M1311" t="s">
        <v>7330</v>
      </c>
      <c r="N1311" s="501">
        <v>1051</v>
      </c>
      <c r="P1311">
        <v>731</v>
      </c>
      <c r="Q1311" s="501">
        <v>320</v>
      </c>
      <c r="R1311" t="s">
        <v>7329</v>
      </c>
      <c r="S1311">
        <v>0</v>
      </c>
    </row>
    <row r="1312" spans="1:19">
      <c r="A1312" t="s">
        <v>7334</v>
      </c>
      <c r="B1312">
        <v>103</v>
      </c>
      <c r="C1312" t="s">
        <v>7328</v>
      </c>
      <c r="D1312" t="s">
        <v>7879</v>
      </c>
      <c r="E1312" t="s">
        <v>8160</v>
      </c>
      <c r="F1312" t="s">
        <v>7298</v>
      </c>
      <c r="G1312">
        <v>-0.5</v>
      </c>
      <c r="H1312">
        <v>-0.5</v>
      </c>
      <c r="L1312" t="s">
        <v>7330</v>
      </c>
      <c r="M1312" t="s">
        <v>7330</v>
      </c>
      <c r="N1312" s="501">
        <v>523</v>
      </c>
      <c r="P1312">
        <v>373</v>
      </c>
      <c r="Q1312" s="501">
        <v>150</v>
      </c>
      <c r="R1312" t="s">
        <v>7333</v>
      </c>
      <c r="S1312">
        <v>0</v>
      </c>
    </row>
    <row r="1313" spans="1:19">
      <c r="A1313" t="s">
        <v>7334</v>
      </c>
      <c r="B1313">
        <v>103</v>
      </c>
      <c r="C1313" t="s">
        <v>7328</v>
      </c>
      <c r="D1313" t="s">
        <v>7879</v>
      </c>
      <c r="E1313" t="s">
        <v>8161</v>
      </c>
      <c r="F1313" t="s">
        <v>7298</v>
      </c>
      <c r="G1313">
        <v>-0.75</v>
      </c>
      <c r="H1313">
        <v>-0.75</v>
      </c>
      <c r="L1313" t="s">
        <v>7330</v>
      </c>
      <c r="M1313" t="s">
        <v>7330</v>
      </c>
      <c r="N1313" s="501">
        <v>733</v>
      </c>
      <c r="P1313">
        <v>373</v>
      </c>
      <c r="Q1313" s="501">
        <v>360</v>
      </c>
      <c r="R1313" t="s">
        <v>7333</v>
      </c>
      <c r="S1313">
        <v>0</v>
      </c>
    </row>
    <row r="1314" spans="1:19">
      <c r="A1314" t="s">
        <v>7334</v>
      </c>
      <c r="B1314">
        <v>103</v>
      </c>
      <c r="C1314" t="s">
        <v>7328</v>
      </c>
      <c r="D1314" t="s">
        <v>7879</v>
      </c>
      <c r="E1314" t="s">
        <v>7880</v>
      </c>
      <c r="F1314" t="s">
        <v>7298</v>
      </c>
      <c r="G1314">
        <v>-1</v>
      </c>
      <c r="H1314">
        <v>-1</v>
      </c>
      <c r="L1314" t="s">
        <v>7330</v>
      </c>
      <c r="M1314" t="s">
        <v>7330</v>
      </c>
      <c r="N1314" s="501">
        <v>1321</v>
      </c>
      <c r="P1314">
        <v>726</v>
      </c>
      <c r="Q1314" s="501">
        <v>595</v>
      </c>
      <c r="R1314" t="s">
        <v>7333</v>
      </c>
      <c r="S1314">
        <v>0</v>
      </c>
    </row>
    <row r="1315" spans="1:19">
      <c r="A1315" t="s">
        <v>7334</v>
      </c>
      <c r="B1315">
        <v>103</v>
      </c>
      <c r="C1315" t="s">
        <v>7328</v>
      </c>
      <c r="D1315" t="s">
        <v>7879</v>
      </c>
      <c r="E1315" t="s">
        <v>7881</v>
      </c>
      <c r="F1315" t="s">
        <v>7298</v>
      </c>
      <c r="G1315">
        <v>-1.25</v>
      </c>
      <c r="H1315">
        <v>-1.25</v>
      </c>
      <c r="L1315" t="s">
        <v>7330</v>
      </c>
      <c r="M1315" t="s">
        <v>7330</v>
      </c>
      <c r="N1315" s="501">
        <v>992</v>
      </c>
      <c r="P1315">
        <v>726</v>
      </c>
      <c r="Q1315" s="501">
        <v>266</v>
      </c>
      <c r="R1315" t="s">
        <v>7333</v>
      </c>
      <c r="S1315">
        <v>0</v>
      </c>
    </row>
    <row r="1316" spans="1:19">
      <c r="A1316" t="s">
        <v>7334</v>
      </c>
      <c r="B1316">
        <v>103</v>
      </c>
      <c r="C1316" t="s">
        <v>7328</v>
      </c>
      <c r="D1316" t="s">
        <v>7879</v>
      </c>
      <c r="E1316" t="s">
        <v>7882</v>
      </c>
      <c r="F1316" t="s">
        <v>7298</v>
      </c>
      <c r="G1316">
        <v>-1.5</v>
      </c>
      <c r="H1316">
        <v>-1.5</v>
      </c>
      <c r="L1316" t="s">
        <v>7330</v>
      </c>
      <c r="M1316" t="s">
        <v>7330</v>
      </c>
      <c r="N1316" s="501">
        <v>1363</v>
      </c>
      <c r="P1316">
        <v>726</v>
      </c>
      <c r="Q1316" s="501">
        <v>637</v>
      </c>
      <c r="R1316" t="s">
        <v>7333</v>
      </c>
      <c r="S1316">
        <v>0</v>
      </c>
    </row>
    <row r="1317" spans="1:19">
      <c r="A1317" t="s">
        <v>7334</v>
      </c>
      <c r="B1317">
        <v>103</v>
      </c>
      <c r="C1317" t="s">
        <v>7328</v>
      </c>
      <c r="D1317" t="s">
        <v>7879</v>
      </c>
      <c r="E1317" t="s">
        <v>7883</v>
      </c>
      <c r="F1317" t="s">
        <v>7298</v>
      </c>
      <c r="G1317">
        <v>-1.75</v>
      </c>
      <c r="H1317">
        <v>-1.75</v>
      </c>
      <c r="L1317" t="s">
        <v>7330</v>
      </c>
      <c r="M1317" t="s">
        <v>7330</v>
      </c>
      <c r="N1317" s="501">
        <v>929</v>
      </c>
      <c r="P1317">
        <v>726</v>
      </c>
      <c r="Q1317" s="501">
        <v>203</v>
      </c>
      <c r="R1317" t="s">
        <v>7333</v>
      </c>
      <c r="S1317">
        <v>0</v>
      </c>
    </row>
    <row r="1318" spans="1:19">
      <c r="A1318" t="s">
        <v>7334</v>
      </c>
      <c r="B1318">
        <v>103</v>
      </c>
      <c r="C1318" t="s">
        <v>7328</v>
      </c>
      <c r="D1318" t="s">
        <v>7879</v>
      </c>
      <c r="E1318" t="s">
        <v>7884</v>
      </c>
      <c r="F1318" t="s">
        <v>7298</v>
      </c>
      <c r="G1318">
        <v>-2</v>
      </c>
      <c r="H1318">
        <v>-2</v>
      </c>
      <c r="L1318" t="s">
        <v>7330</v>
      </c>
      <c r="M1318" t="s">
        <v>7330</v>
      </c>
      <c r="N1318" s="501">
        <v>962</v>
      </c>
      <c r="P1318">
        <v>726</v>
      </c>
      <c r="Q1318" s="501">
        <v>236</v>
      </c>
      <c r="R1318" t="s">
        <v>7333</v>
      </c>
      <c r="S1318">
        <v>0</v>
      </c>
    </row>
    <row r="1319" spans="1:19">
      <c r="A1319" t="s">
        <v>7334</v>
      </c>
      <c r="B1319">
        <v>103</v>
      </c>
      <c r="C1319" t="s">
        <v>7328</v>
      </c>
      <c r="D1319" t="s">
        <v>7879</v>
      </c>
      <c r="E1319" t="s">
        <v>7885</v>
      </c>
      <c r="F1319" t="s">
        <v>7298</v>
      </c>
      <c r="G1319">
        <v>-2.25</v>
      </c>
      <c r="H1319">
        <v>-2.25</v>
      </c>
      <c r="L1319" t="s">
        <v>7330</v>
      </c>
      <c r="M1319" t="s">
        <v>7330</v>
      </c>
      <c r="N1319" s="501">
        <v>1243</v>
      </c>
      <c r="P1319">
        <v>726</v>
      </c>
      <c r="Q1319" s="501">
        <v>517</v>
      </c>
      <c r="R1319" t="s">
        <v>7333</v>
      </c>
      <c r="S1319">
        <v>0</v>
      </c>
    </row>
    <row r="1320" spans="1:19">
      <c r="A1320" t="s">
        <v>7334</v>
      </c>
      <c r="B1320">
        <v>103</v>
      </c>
      <c r="C1320" t="s">
        <v>7328</v>
      </c>
      <c r="D1320" t="s">
        <v>7879</v>
      </c>
      <c r="E1320" t="s">
        <v>7886</v>
      </c>
      <c r="F1320" t="s">
        <v>7298</v>
      </c>
      <c r="G1320">
        <v>-2.5</v>
      </c>
      <c r="H1320">
        <v>-2.5</v>
      </c>
      <c r="L1320" t="s">
        <v>7330</v>
      </c>
      <c r="M1320" t="s">
        <v>7330</v>
      </c>
      <c r="N1320" s="501">
        <v>1043</v>
      </c>
      <c r="P1320">
        <v>726</v>
      </c>
      <c r="Q1320" s="501">
        <v>317</v>
      </c>
      <c r="R1320" t="s">
        <v>7333</v>
      </c>
      <c r="S1320">
        <v>0</v>
      </c>
    </row>
    <row r="1321" spans="1:19">
      <c r="A1321" t="s">
        <v>7334</v>
      </c>
      <c r="B1321">
        <v>103</v>
      </c>
      <c r="C1321" t="s">
        <v>7328</v>
      </c>
      <c r="D1321" t="s">
        <v>7879</v>
      </c>
      <c r="E1321" t="s">
        <v>7887</v>
      </c>
      <c r="F1321" t="s">
        <v>7298</v>
      </c>
      <c r="G1321">
        <v>-2.75</v>
      </c>
      <c r="H1321">
        <v>-2.75</v>
      </c>
      <c r="L1321" t="s">
        <v>7330</v>
      </c>
      <c r="M1321" t="s">
        <v>7330</v>
      </c>
      <c r="N1321" s="501">
        <v>1019</v>
      </c>
      <c r="P1321">
        <v>726</v>
      </c>
      <c r="Q1321" s="501">
        <v>293</v>
      </c>
      <c r="R1321" t="s">
        <v>7333</v>
      </c>
      <c r="S1321">
        <v>0</v>
      </c>
    </row>
    <row r="1322" spans="1:19">
      <c r="A1322" t="s">
        <v>7334</v>
      </c>
      <c r="B1322">
        <v>103</v>
      </c>
      <c r="C1322" t="s">
        <v>7328</v>
      </c>
      <c r="D1322" t="s">
        <v>7879</v>
      </c>
      <c r="E1322" t="s">
        <v>7888</v>
      </c>
      <c r="F1322" t="s">
        <v>7298</v>
      </c>
      <c r="G1322">
        <v>-3.25</v>
      </c>
      <c r="H1322">
        <v>-3.25</v>
      </c>
      <c r="L1322" t="s">
        <v>7330</v>
      </c>
      <c r="M1322" t="s">
        <v>7330</v>
      </c>
      <c r="N1322" s="501">
        <v>963</v>
      </c>
      <c r="P1322">
        <v>726</v>
      </c>
      <c r="Q1322" s="501">
        <v>237</v>
      </c>
      <c r="R1322" t="s">
        <v>7333</v>
      </c>
      <c r="S1322">
        <v>0</v>
      </c>
    </row>
    <row r="1323" spans="1:19">
      <c r="A1323" t="s">
        <v>7334</v>
      </c>
      <c r="B1323">
        <v>103</v>
      </c>
      <c r="C1323" t="s">
        <v>7328</v>
      </c>
      <c r="D1323" t="s">
        <v>7879</v>
      </c>
      <c r="E1323" t="s">
        <v>7889</v>
      </c>
      <c r="F1323" t="s">
        <v>7298</v>
      </c>
      <c r="G1323">
        <v>-3.5</v>
      </c>
      <c r="H1323">
        <v>-3.5</v>
      </c>
      <c r="L1323" t="s">
        <v>7330</v>
      </c>
      <c r="M1323" t="s">
        <v>7330</v>
      </c>
      <c r="N1323" s="501">
        <v>1099</v>
      </c>
      <c r="P1323">
        <v>726</v>
      </c>
      <c r="Q1323" s="501">
        <v>373</v>
      </c>
      <c r="R1323" t="s">
        <v>7333</v>
      </c>
      <c r="S1323">
        <v>0</v>
      </c>
    </row>
    <row r="1324" spans="1:19">
      <c r="A1324" t="s">
        <v>7334</v>
      </c>
      <c r="B1324">
        <v>103</v>
      </c>
      <c r="C1324" t="s">
        <v>7328</v>
      </c>
      <c r="D1324" t="s">
        <v>7879</v>
      </c>
      <c r="E1324" t="s">
        <v>7890</v>
      </c>
      <c r="F1324" t="s">
        <v>7298</v>
      </c>
      <c r="G1324">
        <v>-3.75</v>
      </c>
      <c r="H1324">
        <v>-3.75</v>
      </c>
      <c r="L1324" t="s">
        <v>7330</v>
      </c>
      <c r="M1324" t="s">
        <v>7330</v>
      </c>
      <c r="N1324" s="501">
        <v>1293</v>
      </c>
      <c r="P1324">
        <v>726</v>
      </c>
      <c r="Q1324" s="501">
        <v>567</v>
      </c>
      <c r="R1324" t="s">
        <v>7333</v>
      </c>
      <c r="S1324">
        <v>0</v>
      </c>
    </row>
    <row r="1325" spans="1:19">
      <c r="A1325" t="s">
        <v>7334</v>
      </c>
      <c r="B1325">
        <v>103</v>
      </c>
      <c r="C1325" t="s">
        <v>7328</v>
      </c>
      <c r="D1325" t="s">
        <v>7879</v>
      </c>
      <c r="E1325" t="s">
        <v>7928</v>
      </c>
      <c r="F1325" t="s">
        <v>7298</v>
      </c>
      <c r="G1325">
        <v>-4</v>
      </c>
      <c r="H1325">
        <v>-4</v>
      </c>
      <c r="L1325" t="s">
        <v>7330</v>
      </c>
      <c r="M1325" t="s">
        <v>7330</v>
      </c>
      <c r="N1325" s="501">
        <v>882</v>
      </c>
      <c r="P1325">
        <v>376</v>
      </c>
      <c r="Q1325" s="501">
        <v>506</v>
      </c>
      <c r="R1325" t="s">
        <v>7333</v>
      </c>
      <c r="S1325">
        <v>0</v>
      </c>
    </row>
    <row r="1326" spans="1:19">
      <c r="A1326" t="s">
        <v>7334</v>
      </c>
      <c r="B1326">
        <v>103</v>
      </c>
      <c r="C1326" t="s">
        <v>7328</v>
      </c>
      <c r="D1326" t="s">
        <v>7879</v>
      </c>
      <c r="E1326" t="s">
        <v>7929</v>
      </c>
      <c r="F1326" t="s">
        <v>7298</v>
      </c>
      <c r="G1326">
        <v>-4.25</v>
      </c>
      <c r="H1326">
        <v>-4.25</v>
      </c>
      <c r="L1326" t="s">
        <v>7330</v>
      </c>
      <c r="M1326" t="s">
        <v>7330</v>
      </c>
      <c r="N1326" s="501">
        <v>1395</v>
      </c>
      <c r="P1326">
        <v>727</v>
      </c>
      <c r="Q1326" s="501">
        <v>668</v>
      </c>
      <c r="R1326" t="s">
        <v>7333</v>
      </c>
      <c r="S1326">
        <v>0</v>
      </c>
    </row>
    <row r="1327" spans="1:19">
      <c r="A1327" t="s">
        <v>7334</v>
      </c>
      <c r="B1327">
        <v>103</v>
      </c>
      <c r="C1327" t="s">
        <v>7328</v>
      </c>
      <c r="D1327" t="s">
        <v>7879</v>
      </c>
      <c r="E1327" t="s">
        <v>7930</v>
      </c>
      <c r="F1327" t="s">
        <v>7298</v>
      </c>
      <c r="G1327">
        <v>-4.5</v>
      </c>
      <c r="H1327">
        <v>-4.5</v>
      </c>
      <c r="L1327" t="s">
        <v>7330</v>
      </c>
      <c r="M1327" t="s">
        <v>7330</v>
      </c>
      <c r="N1327" s="501">
        <v>1300</v>
      </c>
      <c r="P1327">
        <v>726</v>
      </c>
      <c r="Q1327" s="501">
        <v>574</v>
      </c>
      <c r="R1327" t="s">
        <v>7333</v>
      </c>
      <c r="S1327">
        <v>0</v>
      </c>
    </row>
    <row r="1328" spans="1:19">
      <c r="A1328" t="s">
        <v>7334</v>
      </c>
      <c r="B1328">
        <v>103</v>
      </c>
      <c r="C1328" t="s">
        <v>7328</v>
      </c>
      <c r="D1328" t="s">
        <v>7879</v>
      </c>
      <c r="E1328" t="s">
        <v>7931</v>
      </c>
      <c r="F1328" t="s">
        <v>7298</v>
      </c>
      <c r="G1328">
        <v>-4.75</v>
      </c>
      <c r="H1328">
        <v>-4.75</v>
      </c>
      <c r="L1328" t="s">
        <v>7330</v>
      </c>
      <c r="M1328" t="s">
        <v>7330</v>
      </c>
      <c r="N1328" s="501">
        <v>803</v>
      </c>
      <c r="P1328">
        <v>376</v>
      </c>
      <c r="Q1328" s="501">
        <v>427</v>
      </c>
      <c r="R1328" t="s">
        <v>7333</v>
      </c>
      <c r="S1328">
        <v>0</v>
      </c>
    </row>
    <row r="1329" spans="1:19">
      <c r="A1329" t="s">
        <v>7334</v>
      </c>
      <c r="B1329">
        <v>103</v>
      </c>
      <c r="C1329" t="s">
        <v>7328</v>
      </c>
      <c r="D1329" t="s">
        <v>7879</v>
      </c>
      <c r="E1329" t="s">
        <v>7932</v>
      </c>
      <c r="F1329" t="s">
        <v>7298</v>
      </c>
      <c r="G1329">
        <v>-5</v>
      </c>
      <c r="H1329">
        <v>-5</v>
      </c>
      <c r="L1329" t="s">
        <v>7330</v>
      </c>
      <c r="M1329" t="s">
        <v>7330</v>
      </c>
      <c r="N1329" s="501">
        <v>1019</v>
      </c>
      <c r="P1329">
        <v>726</v>
      </c>
      <c r="Q1329" s="501">
        <v>293</v>
      </c>
      <c r="R1329" t="s">
        <v>7333</v>
      </c>
      <c r="S1329">
        <v>0</v>
      </c>
    </row>
    <row r="1330" spans="1:19">
      <c r="A1330" t="s">
        <v>7334</v>
      </c>
      <c r="B1330">
        <v>103</v>
      </c>
      <c r="C1330" t="s">
        <v>7328</v>
      </c>
      <c r="D1330" t="s">
        <v>7879</v>
      </c>
      <c r="E1330" t="s">
        <v>7933</v>
      </c>
      <c r="F1330" t="s">
        <v>7298</v>
      </c>
      <c r="G1330">
        <v>-5.25</v>
      </c>
      <c r="H1330">
        <v>-5.25</v>
      </c>
      <c r="L1330" t="s">
        <v>7330</v>
      </c>
      <c r="M1330" t="s">
        <v>7330</v>
      </c>
      <c r="N1330" s="501">
        <v>1467</v>
      </c>
      <c r="P1330">
        <v>725</v>
      </c>
      <c r="Q1330" s="501">
        <v>742</v>
      </c>
      <c r="R1330" t="s">
        <v>7333</v>
      </c>
      <c r="S1330">
        <v>0</v>
      </c>
    </row>
    <row r="1331" spans="1:19">
      <c r="A1331" t="s">
        <v>7334</v>
      </c>
      <c r="B1331">
        <v>103</v>
      </c>
      <c r="C1331" t="s">
        <v>7328</v>
      </c>
      <c r="D1331" t="s">
        <v>7879</v>
      </c>
      <c r="E1331" t="s">
        <v>7934</v>
      </c>
      <c r="F1331" t="s">
        <v>7298</v>
      </c>
      <c r="G1331">
        <v>-5.5</v>
      </c>
      <c r="H1331">
        <v>-5.5</v>
      </c>
      <c r="L1331" t="s">
        <v>7330</v>
      </c>
      <c r="M1331" t="s">
        <v>7330</v>
      </c>
      <c r="N1331" s="501">
        <v>1158</v>
      </c>
      <c r="P1331">
        <v>726</v>
      </c>
      <c r="Q1331" s="501">
        <v>432</v>
      </c>
      <c r="R1331" t="s">
        <v>7333</v>
      </c>
      <c r="S1331">
        <v>0</v>
      </c>
    </row>
    <row r="1332" spans="1:19">
      <c r="A1332" t="s">
        <v>7334</v>
      </c>
      <c r="B1332">
        <v>103</v>
      </c>
      <c r="C1332" t="s">
        <v>7328</v>
      </c>
      <c r="D1332" t="s">
        <v>7879</v>
      </c>
      <c r="E1332" t="s">
        <v>7935</v>
      </c>
      <c r="F1332" t="s">
        <v>7298</v>
      </c>
      <c r="G1332">
        <v>-5.75</v>
      </c>
      <c r="H1332">
        <v>-5.75</v>
      </c>
      <c r="L1332" t="s">
        <v>7330</v>
      </c>
      <c r="M1332" t="s">
        <v>7330</v>
      </c>
      <c r="N1332" s="501">
        <v>1085</v>
      </c>
      <c r="P1332">
        <v>725</v>
      </c>
      <c r="Q1332" s="501">
        <v>360</v>
      </c>
      <c r="R1332" t="s">
        <v>7333</v>
      </c>
      <c r="S1332">
        <v>0</v>
      </c>
    </row>
    <row r="1333" spans="1:19">
      <c r="A1333" t="s">
        <v>7334</v>
      </c>
      <c r="B1333">
        <v>103</v>
      </c>
      <c r="C1333" t="s">
        <v>7328</v>
      </c>
      <c r="D1333" t="s">
        <v>7879</v>
      </c>
      <c r="E1333" t="s">
        <v>7936</v>
      </c>
      <c r="F1333" t="s">
        <v>7298</v>
      </c>
      <c r="G1333">
        <v>-6</v>
      </c>
      <c r="H1333">
        <v>-6</v>
      </c>
      <c r="L1333" t="s">
        <v>7330</v>
      </c>
      <c r="M1333" t="s">
        <v>7330</v>
      </c>
      <c r="N1333" s="501">
        <v>1326</v>
      </c>
      <c r="P1333">
        <v>726</v>
      </c>
      <c r="Q1333" s="501">
        <v>600</v>
      </c>
      <c r="R1333" t="s">
        <v>7333</v>
      </c>
      <c r="S1333">
        <v>0</v>
      </c>
    </row>
    <row r="1334" spans="1:19">
      <c r="A1334" t="s">
        <v>7334</v>
      </c>
      <c r="B1334">
        <v>103</v>
      </c>
      <c r="C1334" t="s">
        <v>7328</v>
      </c>
      <c r="D1334" t="s">
        <v>7879</v>
      </c>
      <c r="E1334" t="s">
        <v>7937</v>
      </c>
      <c r="F1334" t="s">
        <v>7298</v>
      </c>
      <c r="G1334">
        <v>-6.5</v>
      </c>
      <c r="H1334">
        <v>-6.5</v>
      </c>
      <c r="L1334" t="s">
        <v>7330</v>
      </c>
      <c r="M1334" t="s">
        <v>7330</v>
      </c>
      <c r="N1334" s="501">
        <v>986</v>
      </c>
      <c r="P1334">
        <v>726</v>
      </c>
      <c r="Q1334" s="501">
        <v>260</v>
      </c>
      <c r="R1334" t="s">
        <v>7333</v>
      </c>
      <c r="S1334">
        <v>0</v>
      </c>
    </row>
    <row r="1335" spans="1:19">
      <c r="A1335" t="s">
        <v>7334</v>
      </c>
      <c r="B1335">
        <v>103</v>
      </c>
      <c r="C1335" t="s">
        <v>7328</v>
      </c>
      <c r="D1335" t="s">
        <v>7879</v>
      </c>
      <c r="E1335" t="s">
        <v>7938</v>
      </c>
      <c r="F1335" t="s">
        <v>7298</v>
      </c>
      <c r="G1335">
        <v>-7</v>
      </c>
      <c r="H1335">
        <v>-7</v>
      </c>
      <c r="L1335" t="s">
        <v>7330</v>
      </c>
      <c r="M1335" t="s">
        <v>7330</v>
      </c>
      <c r="N1335" s="501">
        <v>1329</v>
      </c>
      <c r="P1335">
        <v>706</v>
      </c>
      <c r="Q1335" s="501">
        <v>623</v>
      </c>
      <c r="R1335" t="s">
        <v>7333</v>
      </c>
      <c r="S1335">
        <v>0</v>
      </c>
    </row>
    <row r="1336" spans="1:19">
      <c r="A1336" t="s">
        <v>7334</v>
      </c>
      <c r="B1336">
        <v>103</v>
      </c>
      <c r="C1336" t="s">
        <v>7328</v>
      </c>
      <c r="D1336" t="s">
        <v>7879</v>
      </c>
      <c r="E1336" t="s">
        <v>7939</v>
      </c>
      <c r="F1336" t="s">
        <v>7298</v>
      </c>
      <c r="G1336">
        <v>-7.5</v>
      </c>
      <c r="H1336">
        <v>-7.5</v>
      </c>
      <c r="L1336" t="s">
        <v>7330</v>
      </c>
      <c r="M1336" t="s">
        <v>7330</v>
      </c>
      <c r="N1336" s="501">
        <v>1078</v>
      </c>
      <c r="P1336">
        <v>703</v>
      </c>
      <c r="Q1336" s="501">
        <v>375</v>
      </c>
      <c r="R1336" t="s">
        <v>7333</v>
      </c>
      <c r="S1336">
        <v>0</v>
      </c>
    </row>
    <row r="1337" spans="1:19">
      <c r="A1337" t="s">
        <v>7334</v>
      </c>
      <c r="B1337">
        <v>103</v>
      </c>
      <c r="C1337" t="s">
        <v>7328</v>
      </c>
      <c r="D1337" t="s">
        <v>7879</v>
      </c>
      <c r="E1337" t="s">
        <v>8162</v>
      </c>
      <c r="F1337" t="s">
        <v>7298</v>
      </c>
      <c r="G1337">
        <v>-8</v>
      </c>
      <c r="H1337">
        <v>-8</v>
      </c>
      <c r="L1337" t="s">
        <v>7330</v>
      </c>
      <c r="M1337" t="s">
        <v>7330</v>
      </c>
      <c r="N1337" s="501">
        <v>771</v>
      </c>
      <c r="P1337">
        <v>353</v>
      </c>
      <c r="Q1337" s="501">
        <v>418</v>
      </c>
      <c r="R1337" t="s">
        <v>7333</v>
      </c>
      <c r="S1337">
        <v>0</v>
      </c>
    </row>
    <row r="1338" spans="1:19">
      <c r="A1338" t="s">
        <v>7334</v>
      </c>
      <c r="B1338">
        <v>103</v>
      </c>
      <c r="C1338" t="s">
        <v>7328</v>
      </c>
      <c r="D1338" t="s">
        <v>7383</v>
      </c>
      <c r="E1338" t="s">
        <v>8807</v>
      </c>
      <c r="F1338" t="s">
        <v>7311</v>
      </c>
      <c r="G1338">
        <v>0</v>
      </c>
      <c r="H1338">
        <v>0</v>
      </c>
      <c r="L1338" t="s">
        <v>7330</v>
      </c>
      <c r="M1338" t="s">
        <v>7330</v>
      </c>
      <c r="N1338" s="501">
        <v>2061</v>
      </c>
      <c r="P1338">
        <v>231</v>
      </c>
      <c r="Q1338" s="501">
        <v>1830</v>
      </c>
      <c r="R1338" t="s">
        <v>7331</v>
      </c>
      <c r="S1338">
        <v>0</v>
      </c>
    </row>
    <row r="1339" spans="1:19">
      <c r="A1339" t="s">
        <v>7334</v>
      </c>
      <c r="B1339">
        <v>103</v>
      </c>
      <c r="C1339" t="s">
        <v>7328</v>
      </c>
      <c r="D1339" t="s">
        <v>7383</v>
      </c>
      <c r="E1339" t="s">
        <v>8853</v>
      </c>
      <c r="F1339" t="s">
        <v>7311</v>
      </c>
      <c r="G1339">
        <v>-1</v>
      </c>
      <c r="H1339">
        <v>-1</v>
      </c>
      <c r="L1339" t="s">
        <v>7330</v>
      </c>
      <c r="M1339" t="s">
        <v>7330</v>
      </c>
      <c r="N1339" s="501">
        <v>1425</v>
      </c>
      <c r="P1339">
        <v>159</v>
      </c>
      <c r="Q1339" s="501">
        <v>1266</v>
      </c>
      <c r="R1339" t="s">
        <v>7331</v>
      </c>
      <c r="S1339">
        <v>0</v>
      </c>
    </row>
    <row r="1340" spans="1:19">
      <c r="A1340" t="s">
        <v>7334</v>
      </c>
      <c r="B1340">
        <v>103</v>
      </c>
      <c r="C1340" t="s">
        <v>7328</v>
      </c>
      <c r="D1340" t="s">
        <v>7383</v>
      </c>
      <c r="E1340" t="s">
        <v>8854</v>
      </c>
      <c r="F1340" t="s">
        <v>7311</v>
      </c>
      <c r="G1340">
        <v>-1.25</v>
      </c>
      <c r="H1340">
        <v>-1.25</v>
      </c>
      <c r="L1340" t="s">
        <v>7330</v>
      </c>
      <c r="M1340" t="s">
        <v>7330</v>
      </c>
      <c r="N1340" s="501">
        <v>1262</v>
      </c>
      <c r="P1340">
        <v>188</v>
      </c>
      <c r="Q1340" s="501">
        <v>1074</v>
      </c>
      <c r="R1340" t="s">
        <v>7331</v>
      </c>
      <c r="S1340">
        <v>0</v>
      </c>
    </row>
    <row r="1341" spans="1:19">
      <c r="A1341" t="s">
        <v>7334</v>
      </c>
      <c r="B1341">
        <v>103</v>
      </c>
      <c r="C1341" t="s">
        <v>7328</v>
      </c>
      <c r="D1341" t="s">
        <v>7383</v>
      </c>
      <c r="E1341" t="s">
        <v>8808</v>
      </c>
      <c r="F1341" t="s">
        <v>7311</v>
      </c>
      <c r="G1341">
        <v>-1.5</v>
      </c>
      <c r="H1341">
        <v>-1.5</v>
      </c>
      <c r="L1341" t="s">
        <v>7330</v>
      </c>
      <c r="M1341" t="s">
        <v>7330</v>
      </c>
      <c r="N1341" s="501">
        <v>1683</v>
      </c>
      <c r="P1341">
        <v>285</v>
      </c>
      <c r="Q1341" s="501">
        <v>1398</v>
      </c>
      <c r="R1341" t="s">
        <v>7331</v>
      </c>
      <c r="S1341">
        <v>0</v>
      </c>
    </row>
    <row r="1342" spans="1:19">
      <c r="A1342" t="s">
        <v>7334</v>
      </c>
      <c r="B1342">
        <v>103</v>
      </c>
      <c r="C1342" t="s">
        <v>7328</v>
      </c>
      <c r="D1342" t="s">
        <v>7383</v>
      </c>
      <c r="E1342" t="s">
        <v>8855</v>
      </c>
      <c r="F1342" t="s">
        <v>7311</v>
      </c>
      <c r="G1342">
        <v>-1.75</v>
      </c>
      <c r="H1342">
        <v>-1.75</v>
      </c>
      <c r="L1342" t="s">
        <v>7330</v>
      </c>
      <c r="M1342" t="s">
        <v>7330</v>
      </c>
      <c r="N1342" s="501">
        <v>1321</v>
      </c>
      <c r="P1342">
        <v>182</v>
      </c>
      <c r="Q1342" s="501">
        <v>1139</v>
      </c>
      <c r="R1342" t="s">
        <v>7331</v>
      </c>
      <c r="S1342">
        <v>0</v>
      </c>
    </row>
    <row r="1343" spans="1:19">
      <c r="A1343" t="s">
        <v>7334</v>
      </c>
      <c r="B1343">
        <v>103</v>
      </c>
      <c r="C1343" t="s">
        <v>7328</v>
      </c>
      <c r="D1343" t="s">
        <v>7383</v>
      </c>
      <c r="E1343" t="s">
        <v>7384</v>
      </c>
      <c r="F1343" t="s">
        <v>7311</v>
      </c>
      <c r="G1343">
        <v>-2</v>
      </c>
      <c r="H1343">
        <v>-2</v>
      </c>
      <c r="L1343" t="s">
        <v>7330</v>
      </c>
      <c r="M1343" t="s">
        <v>7330</v>
      </c>
      <c r="N1343" s="501">
        <v>1004</v>
      </c>
      <c r="P1343">
        <v>274</v>
      </c>
      <c r="Q1343" s="501">
        <v>730</v>
      </c>
      <c r="R1343" t="s">
        <v>7331</v>
      </c>
      <c r="S1343">
        <v>0</v>
      </c>
    </row>
    <row r="1344" spans="1:19">
      <c r="A1344" t="s">
        <v>7334</v>
      </c>
      <c r="B1344">
        <v>103</v>
      </c>
      <c r="C1344" t="s">
        <v>7328</v>
      </c>
      <c r="D1344" t="s">
        <v>7383</v>
      </c>
      <c r="E1344" t="s">
        <v>8847</v>
      </c>
      <c r="F1344" t="s">
        <v>7311</v>
      </c>
      <c r="G1344">
        <v>-2.25</v>
      </c>
      <c r="H1344">
        <v>-2.25</v>
      </c>
      <c r="L1344" t="s">
        <v>7330</v>
      </c>
      <c r="M1344" t="s">
        <v>7330</v>
      </c>
      <c r="N1344" s="501">
        <v>1583</v>
      </c>
      <c r="P1344">
        <v>179</v>
      </c>
      <c r="Q1344" s="501">
        <v>1404</v>
      </c>
      <c r="R1344" t="s">
        <v>7331</v>
      </c>
      <c r="S1344">
        <v>0</v>
      </c>
    </row>
    <row r="1345" spans="1:19">
      <c r="A1345" t="s">
        <v>7334</v>
      </c>
      <c r="B1345">
        <v>103</v>
      </c>
      <c r="C1345" t="s">
        <v>7328</v>
      </c>
      <c r="D1345" t="s">
        <v>7383</v>
      </c>
      <c r="E1345" t="s">
        <v>8856</v>
      </c>
      <c r="F1345" t="s">
        <v>7311</v>
      </c>
      <c r="G1345">
        <v>-2.5</v>
      </c>
      <c r="H1345">
        <v>-2.5</v>
      </c>
      <c r="L1345" t="s">
        <v>7330</v>
      </c>
      <c r="M1345" t="s">
        <v>7330</v>
      </c>
      <c r="N1345" s="501">
        <v>1549</v>
      </c>
      <c r="P1345">
        <v>233</v>
      </c>
      <c r="Q1345" s="501">
        <v>1316</v>
      </c>
      <c r="R1345" t="s">
        <v>7331</v>
      </c>
      <c r="S1345">
        <v>0</v>
      </c>
    </row>
    <row r="1346" spans="1:19">
      <c r="A1346" t="s">
        <v>7334</v>
      </c>
      <c r="B1346">
        <v>103</v>
      </c>
      <c r="C1346" t="s">
        <v>7328</v>
      </c>
      <c r="D1346" t="s">
        <v>7383</v>
      </c>
      <c r="E1346" t="s">
        <v>8848</v>
      </c>
      <c r="F1346" t="s">
        <v>7311</v>
      </c>
      <c r="G1346">
        <v>-2.75</v>
      </c>
      <c r="H1346">
        <v>-2.75</v>
      </c>
      <c r="L1346" t="s">
        <v>7330</v>
      </c>
      <c r="M1346" t="s">
        <v>7330</v>
      </c>
      <c r="N1346" s="501">
        <v>1353</v>
      </c>
      <c r="P1346">
        <v>206</v>
      </c>
      <c r="Q1346" s="501">
        <v>1147</v>
      </c>
      <c r="R1346" t="s">
        <v>7331</v>
      </c>
      <c r="S1346">
        <v>0</v>
      </c>
    </row>
    <row r="1347" spans="1:19">
      <c r="A1347" t="s">
        <v>7334</v>
      </c>
      <c r="B1347">
        <v>103</v>
      </c>
      <c r="C1347" t="s">
        <v>7328</v>
      </c>
      <c r="D1347" t="s">
        <v>7383</v>
      </c>
      <c r="E1347" t="s">
        <v>8857</v>
      </c>
      <c r="F1347" t="s">
        <v>7311</v>
      </c>
      <c r="G1347">
        <v>-3</v>
      </c>
      <c r="H1347">
        <v>-3</v>
      </c>
      <c r="L1347" t="s">
        <v>7330</v>
      </c>
      <c r="M1347" t="s">
        <v>7330</v>
      </c>
      <c r="N1347" s="501">
        <v>1194</v>
      </c>
      <c r="P1347">
        <v>113</v>
      </c>
      <c r="Q1347" s="501">
        <v>1081</v>
      </c>
      <c r="R1347" t="s">
        <v>7331</v>
      </c>
      <c r="S1347">
        <v>0</v>
      </c>
    </row>
    <row r="1348" spans="1:19">
      <c r="A1348" t="s">
        <v>7334</v>
      </c>
      <c r="B1348">
        <v>103</v>
      </c>
      <c r="C1348" t="s">
        <v>7328</v>
      </c>
      <c r="D1348" t="s">
        <v>7383</v>
      </c>
      <c r="E1348" t="s">
        <v>8858</v>
      </c>
      <c r="F1348" t="s">
        <v>7311</v>
      </c>
      <c r="G1348">
        <v>-3.25</v>
      </c>
      <c r="H1348">
        <v>-3.25</v>
      </c>
      <c r="L1348" t="s">
        <v>7330</v>
      </c>
      <c r="M1348" t="s">
        <v>7330</v>
      </c>
      <c r="N1348" s="501">
        <v>1330</v>
      </c>
      <c r="P1348">
        <v>167</v>
      </c>
      <c r="Q1348" s="501">
        <v>1163</v>
      </c>
      <c r="R1348" t="s">
        <v>7331</v>
      </c>
      <c r="S1348">
        <v>0</v>
      </c>
    </row>
    <row r="1349" spans="1:19">
      <c r="A1349" t="s">
        <v>7334</v>
      </c>
      <c r="B1349">
        <v>103</v>
      </c>
      <c r="C1349" t="s">
        <v>7328</v>
      </c>
      <c r="D1349" t="s">
        <v>7383</v>
      </c>
      <c r="E1349" t="s">
        <v>8861</v>
      </c>
      <c r="F1349" t="s">
        <v>7311</v>
      </c>
      <c r="G1349">
        <v>-3.5</v>
      </c>
      <c r="H1349">
        <v>-3.5</v>
      </c>
      <c r="L1349" t="s">
        <v>7330</v>
      </c>
      <c r="M1349" t="s">
        <v>7330</v>
      </c>
      <c r="N1349" s="501">
        <v>1268</v>
      </c>
      <c r="P1349">
        <v>18</v>
      </c>
      <c r="Q1349" s="501">
        <v>1250</v>
      </c>
      <c r="R1349" t="s">
        <v>7331</v>
      </c>
      <c r="S1349">
        <v>0</v>
      </c>
    </row>
    <row r="1350" spans="1:19">
      <c r="A1350" t="s">
        <v>7334</v>
      </c>
      <c r="B1350">
        <v>103</v>
      </c>
      <c r="C1350" t="s">
        <v>7328</v>
      </c>
      <c r="D1350" t="s">
        <v>7383</v>
      </c>
      <c r="E1350" t="s">
        <v>8849</v>
      </c>
      <c r="F1350" t="s">
        <v>7311</v>
      </c>
      <c r="G1350">
        <v>-3.75</v>
      </c>
      <c r="H1350">
        <v>-3.75</v>
      </c>
      <c r="L1350" t="s">
        <v>7330</v>
      </c>
      <c r="M1350" t="s">
        <v>7330</v>
      </c>
      <c r="N1350" s="501">
        <v>1473</v>
      </c>
      <c r="P1350">
        <v>263</v>
      </c>
      <c r="Q1350" s="501">
        <v>1210</v>
      </c>
      <c r="R1350" t="s">
        <v>7331</v>
      </c>
      <c r="S1350">
        <v>0</v>
      </c>
    </row>
    <row r="1351" spans="1:19">
      <c r="A1351" t="s">
        <v>7334</v>
      </c>
      <c r="B1351">
        <v>103</v>
      </c>
      <c r="C1351" t="s">
        <v>7328</v>
      </c>
      <c r="D1351" t="s">
        <v>7383</v>
      </c>
      <c r="E1351" t="s">
        <v>8809</v>
      </c>
      <c r="F1351" t="s">
        <v>7311</v>
      </c>
      <c r="G1351">
        <v>-4</v>
      </c>
      <c r="H1351">
        <v>-4</v>
      </c>
      <c r="L1351" t="s">
        <v>7330</v>
      </c>
      <c r="M1351" t="s">
        <v>7330</v>
      </c>
      <c r="N1351" s="501">
        <v>1547</v>
      </c>
      <c r="P1351">
        <v>278</v>
      </c>
      <c r="Q1351" s="501">
        <v>1269</v>
      </c>
      <c r="R1351" t="s">
        <v>7331</v>
      </c>
      <c r="S1351">
        <v>0</v>
      </c>
    </row>
    <row r="1352" spans="1:19">
      <c r="A1352" t="s">
        <v>7334</v>
      </c>
      <c r="B1352">
        <v>103</v>
      </c>
      <c r="C1352" t="s">
        <v>7328</v>
      </c>
      <c r="D1352" t="s">
        <v>7383</v>
      </c>
      <c r="E1352" t="s">
        <v>8850</v>
      </c>
      <c r="F1352" t="s">
        <v>7311</v>
      </c>
      <c r="G1352">
        <v>-4.25</v>
      </c>
      <c r="H1352">
        <v>-4.25</v>
      </c>
      <c r="L1352" t="s">
        <v>7330</v>
      </c>
      <c r="M1352" t="s">
        <v>7330</v>
      </c>
      <c r="N1352" s="501">
        <v>1180</v>
      </c>
      <c r="P1352">
        <v>72</v>
      </c>
      <c r="Q1352" s="501">
        <v>1108</v>
      </c>
      <c r="R1352" t="s">
        <v>7331</v>
      </c>
      <c r="S1352">
        <v>0</v>
      </c>
    </row>
    <row r="1353" spans="1:19">
      <c r="A1353" t="s">
        <v>7334</v>
      </c>
      <c r="B1353">
        <v>103</v>
      </c>
      <c r="C1353" t="s">
        <v>7328</v>
      </c>
      <c r="D1353" t="s">
        <v>7383</v>
      </c>
      <c r="E1353" t="s">
        <v>8810</v>
      </c>
      <c r="F1353" t="s">
        <v>7311</v>
      </c>
      <c r="G1353">
        <v>-4.5</v>
      </c>
      <c r="H1353">
        <v>-4.5</v>
      </c>
      <c r="L1353" t="s">
        <v>7330</v>
      </c>
      <c r="M1353" t="s">
        <v>7330</v>
      </c>
      <c r="N1353" s="501">
        <v>1550</v>
      </c>
      <c r="P1353">
        <v>205</v>
      </c>
      <c r="Q1353" s="501">
        <v>1345</v>
      </c>
      <c r="R1353" t="s">
        <v>7331</v>
      </c>
      <c r="S1353">
        <v>0</v>
      </c>
    </row>
    <row r="1354" spans="1:19">
      <c r="A1354" t="s">
        <v>7334</v>
      </c>
      <c r="B1354">
        <v>103</v>
      </c>
      <c r="C1354" t="s">
        <v>7328</v>
      </c>
      <c r="D1354" t="s">
        <v>7383</v>
      </c>
      <c r="E1354" t="s">
        <v>8862</v>
      </c>
      <c r="F1354" t="s">
        <v>7311</v>
      </c>
      <c r="G1354">
        <v>-4.75</v>
      </c>
      <c r="H1354">
        <v>-4.75</v>
      </c>
      <c r="L1354" t="s">
        <v>7330</v>
      </c>
      <c r="M1354" t="s">
        <v>7330</v>
      </c>
      <c r="N1354" s="501">
        <v>1359</v>
      </c>
      <c r="P1354">
        <v>17</v>
      </c>
      <c r="Q1354" s="501">
        <v>1342</v>
      </c>
      <c r="R1354" t="s">
        <v>7331</v>
      </c>
      <c r="S1354">
        <v>0</v>
      </c>
    </row>
    <row r="1355" spans="1:19">
      <c r="A1355" t="s">
        <v>7334</v>
      </c>
      <c r="B1355">
        <v>103</v>
      </c>
      <c r="C1355" t="s">
        <v>7328</v>
      </c>
      <c r="D1355" t="s">
        <v>7383</v>
      </c>
      <c r="E1355" t="s">
        <v>7796</v>
      </c>
      <c r="F1355" t="s">
        <v>7311</v>
      </c>
      <c r="G1355">
        <v>-5</v>
      </c>
      <c r="H1355">
        <v>-5</v>
      </c>
      <c r="L1355" t="s">
        <v>7330</v>
      </c>
      <c r="M1355" t="s">
        <v>7330</v>
      </c>
      <c r="N1355" s="501">
        <v>1511</v>
      </c>
      <c r="P1355">
        <v>129</v>
      </c>
      <c r="Q1355" s="501">
        <v>1382</v>
      </c>
      <c r="R1355" t="s">
        <v>7331</v>
      </c>
      <c r="S1355">
        <v>0</v>
      </c>
    </row>
    <row r="1356" spans="1:19">
      <c r="A1356" t="s">
        <v>7334</v>
      </c>
      <c r="B1356">
        <v>103</v>
      </c>
      <c r="C1356" t="s">
        <v>7328</v>
      </c>
      <c r="D1356" t="s">
        <v>7383</v>
      </c>
      <c r="E1356" t="s">
        <v>7797</v>
      </c>
      <c r="F1356" t="s">
        <v>7311</v>
      </c>
      <c r="G1356">
        <v>-5.5</v>
      </c>
      <c r="H1356">
        <v>-5.5</v>
      </c>
      <c r="L1356" t="s">
        <v>7330</v>
      </c>
      <c r="M1356" t="s">
        <v>7330</v>
      </c>
      <c r="N1356" s="501">
        <v>1080</v>
      </c>
      <c r="P1356">
        <v>57</v>
      </c>
      <c r="Q1356" s="501">
        <v>1023</v>
      </c>
      <c r="R1356" t="s">
        <v>7331</v>
      </c>
      <c r="S1356">
        <v>0</v>
      </c>
    </row>
    <row r="1357" spans="1:19">
      <c r="A1357" t="s">
        <v>7334</v>
      </c>
      <c r="B1357">
        <v>103</v>
      </c>
      <c r="C1357" t="s">
        <v>7328</v>
      </c>
      <c r="D1357" t="s">
        <v>7383</v>
      </c>
      <c r="E1357" t="s">
        <v>8863</v>
      </c>
      <c r="F1357" t="s">
        <v>7311</v>
      </c>
      <c r="G1357">
        <v>-6</v>
      </c>
      <c r="H1357">
        <v>-6</v>
      </c>
      <c r="L1357" t="s">
        <v>7330</v>
      </c>
      <c r="M1357" t="s">
        <v>7330</v>
      </c>
      <c r="N1357" s="501">
        <v>1272</v>
      </c>
      <c r="P1357">
        <v>22</v>
      </c>
      <c r="Q1357" s="501">
        <v>1250</v>
      </c>
      <c r="R1357" t="s">
        <v>7331</v>
      </c>
      <c r="S1357">
        <v>0</v>
      </c>
    </row>
    <row r="1358" spans="1:19">
      <c r="A1358" t="s">
        <v>7334</v>
      </c>
      <c r="B1358">
        <v>103</v>
      </c>
      <c r="C1358" t="s">
        <v>7328</v>
      </c>
      <c r="D1358" t="s">
        <v>7383</v>
      </c>
      <c r="E1358" t="s">
        <v>8851</v>
      </c>
      <c r="F1358" t="s">
        <v>7311</v>
      </c>
      <c r="G1358">
        <v>-6.5</v>
      </c>
      <c r="H1358">
        <v>-6.5</v>
      </c>
      <c r="L1358" t="s">
        <v>7330</v>
      </c>
      <c r="M1358" t="s">
        <v>7330</v>
      </c>
      <c r="N1358" s="501">
        <v>1449</v>
      </c>
      <c r="P1358">
        <v>227</v>
      </c>
      <c r="Q1358" s="501">
        <v>1222</v>
      </c>
      <c r="R1358" t="s">
        <v>7331</v>
      </c>
      <c r="S1358">
        <v>0</v>
      </c>
    </row>
    <row r="1359" spans="1:19">
      <c r="A1359" t="s">
        <v>7334</v>
      </c>
      <c r="B1359">
        <v>103</v>
      </c>
      <c r="C1359" t="s">
        <v>7328</v>
      </c>
      <c r="D1359" t="s">
        <v>7383</v>
      </c>
      <c r="E1359" t="s">
        <v>8852</v>
      </c>
      <c r="F1359" t="s">
        <v>7311</v>
      </c>
      <c r="G1359">
        <v>-7</v>
      </c>
      <c r="H1359">
        <v>-7</v>
      </c>
      <c r="L1359" t="s">
        <v>7330</v>
      </c>
      <c r="M1359" t="s">
        <v>7330</v>
      </c>
      <c r="N1359" s="501">
        <v>1515</v>
      </c>
      <c r="P1359">
        <v>169</v>
      </c>
      <c r="Q1359" s="501">
        <v>1346</v>
      </c>
      <c r="R1359" t="s">
        <v>7331</v>
      </c>
      <c r="S1359">
        <v>0</v>
      </c>
    </row>
    <row r="1360" spans="1:19">
      <c r="A1360" t="s">
        <v>7334</v>
      </c>
      <c r="B1360">
        <v>103</v>
      </c>
      <c r="C1360" t="s">
        <v>7328</v>
      </c>
      <c r="D1360" t="s">
        <v>7383</v>
      </c>
      <c r="E1360" t="s">
        <v>8859</v>
      </c>
      <c r="F1360" t="s">
        <v>7311</v>
      </c>
      <c r="G1360">
        <v>-7.5</v>
      </c>
      <c r="H1360">
        <v>-7.5</v>
      </c>
      <c r="L1360" t="s">
        <v>7330</v>
      </c>
      <c r="M1360" t="s">
        <v>7330</v>
      </c>
      <c r="N1360" s="501">
        <v>1399</v>
      </c>
      <c r="P1360">
        <v>111</v>
      </c>
      <c r="Q1360" s="501">
        <v>1288</v>
      </c>
      <c r="R1360" t="s">
        <v>7331</v>
      </c>
      <c r="S1360">
        <v>0</v>
      </c>
    </row>
    <row r="1361" spans="1:19">
      <c r="A1361" t="s">
        <v>7334</v>
      </c>
      <c r="B1361">
        <v>103</v>
      </c>
      <c r="C1361" t="s">
        <v>7328</v>
      </c>
      <c r="D1361" t="s">
        <v>7383</v>
      </c>
      <c r="E1361" t="s">
        <v>8801</v>
      </c>
      <c r="F1361" t="s">
        <v>7311</v>
      </c>
      <c r="G1361">
        <v>-8</v>
      </c>
      <c r="H1361">
        <v>-8</v>
      </c>
      <c r="L1361" t="s">
        <v>7330</v>
      </c>
      <c r="M1361" t="s">
        <v>7330</v>
      </c>
      <c r="N1361" s="501">
        <v>1396</v>
      </c>
      <c r="P1361">
        <v>81</v>
      </c>
      <c r="Q1361" s="501">
        <v>1315</v>
      </c>
      <c r="R1361" t="s">
        <v>7331</v>
      </c>
      <c r="S1361">
        <v>0</v>
      </c>
    </row>
    <row r="1362" spans="1:19">
      <c r="A1362" t="s">
        <v>7334</v>
      </c>
      <c r="B1362">
        <v>103</v>
      </c>
      <c r="C1362" t="s">
        <v>7328</v>
      </c>
      <c r="D1362" t="s">
        <v>7798</v>
      </c>
      <c r="E1362" t="s">
        <v>8864</v>
      </c>
      <c r="F1362" t="s">
        <v>7309</v>
      </c>
      <c r="G1362">
        <v>0</v>
      </c>
      <c r="H1362">
        <v>0</v>
      </c>
      <c r="L1362" t="s">
        <v>7330</v>
      </c>
      <c r="M1362" t="s">
        <v>7330</v>
      </c>
      <c r="N1362" s="501">
        <v>877</v>
      </c>
      <c r="P1362">
        <v>245</v>
      </c>
      <c r="Q1362" s="501">
        <v>632</v>
      </c>
      <c r="R1362" t="s">
        <v>7331</v>
      </c>
      <c r="S1362">
        <v>0</v>
      </c>
    </row>
    <row r="1363" spans="1:19">
      <c r="A1363" t="s">
        <v>7334</v>
      </c>
      <c r="B1363">
        <v>103</v>
      </c>
      <c r="C1363" t="s">
        <v>7328</v>
      </c>
      <c r="D1363" t="s">
        <v>7798</v>
      </c>
      <c r="E1363" t="s">
        <v>8865</v>
      </c>
      <c r="F1363" t="s">
        <v>7309</v>
      </c>
      <c r="G1363">
        <v>-1</v>
      </c>
      <c r="H1363">
        <v>-1</v>
      </c>
      <c r="L1363" t="s">
        <v>7330</v>
      </c>
      <c r="M1363" t="s">
        <v>7330</v>
      </c>
      <c r="N1363" s="501">
        <v>1058</v>
      </c>
      <c r="P1363">
        <v>19</v>
      </c>
      <c r="Q1363" s="501">
        <v>1039</v>
      </c>
      <c r="R1363" t="s">
        <v>7331</v>
      </c>
      <c r="S1363">
        <v>0</v>
      </c>
    </row>
    <row r="1364" spans="1:19">
      <c r="A1364" t="s">
        <v>7334</v>
      </c>
      <c r="B1364">
        <v>103</v>
      </c>
      <c r="C1364" t="s">
        <v>7328</v>
      </c>
      <c r="D1364" t="s">
        <v>7798</v>
      </c>
      <c r="E1364" t="s">
        <v>8811</v>
      </c>
      <c r="F1364" t="s">
        <v>7309</v>
      </c>
      <c r="G1364">
        <v>-1.25</v>
      </c>
      <c r="H1364">
        <v>-1.25</v>
      </c>
      <c r="L1364" t="s">
        <v>7330</v>
      </c>
      <c r="M1364" t="s">
        <v>7330</v>
      </c>
      <c r="N1364" s="501">
        <v>1119</v>
      </c>
      <c r="P1364">
        <v>242</v>
      </c>
      <c r="Q1364">
        <v>877</v>
      </c>
      <c r="R1364" t="s">
        <v>7331</v>
      </c>
      <c r="S1364">
        <v>0</v>
      </c>
    </row>
    <row r="1365" spans="1:19">
      <c r="A1365" t="s">
        <v>7334</v>
      </c>
      <c r="B1365">
        <v>103</v>
      </c>
      <c r="C1365" t="s">
        <v>7328</v>
      </c>
      <c r="D1365" t="s">
        <v>7798</v>
      </c>
      <c r="E1365" t="s">
        <v>8812</v>
      </c>
      <c r="F1365" t="s">
        <v>7309</v>
      </c>
      <c r="G1365">
        <v>-1.5</v>
      </c>
      <c r="H1365">
        <v>-1.5</v>
      </c>
      <c r="L1365" t="s">
        <v>7330</v>
      </c>
      <c r="M1365" t="s">
        <v>7330</v>
      </c>
      <c r="N1365" s="501">
        <v>924</v>
      </c>
      <c r="P1365">
        <v>261</v>
      </c>
      <c r="Q1365">
        <v>663</v>
      </c>
      <c r="R1365" t="s">
        <v>7331</v>
      </c>
      <c r="S1365">
        <v>0</v>
      </c>
    </row>
    <row r="1366" spans="1:19">
      <c r="A1366" t="s">
        <v>7334</v>
      </c>
      <c r="B1366">
        <v>103</v>
      </c>
      <c r="C1366" t="s">
        <v>7328</v>
      </c>
      <c r="D1366" t="s">
        <v>7798</v>
      </c>
      <c r="E1366" t="s">
        <v>7799</v>
      </c>
      <c r="F1366" t="s">
        <v>7309</v>
      </c>
      <c r="G1366">
        <v>-1.75</v>
      </c>
      <c r="H1366">
        <v>-1.75</v>
      </c>
      <c r="L1366" t="s">
        <v>7330</v>
      </c>
      <c r="M1366" t="s">
        <v>7330</v>
      </c>
      <c r="N1366" s="501">
        <v>1112</v>
      </c>
      <c r="P1366">
        <v>198</v>
      </c>
      <c r="Q1366">
        <v>914</v>
      </c>
      <c r="R1366" t="s">
        <v>7331</v>
      </c>
      <c r="S1366">
        <v>0</v>
      </c>
    </row>
    <row r="1367" spans="1:19">
      <c r="A1367" t="s">
        <v>7334</v>
      </c>
      <c r="B1367">
        <v>103</v>
      </c>
      <c r="C1367" t="s">
        <v>7328</v>
      </c>
      <c r="D1367" t="s">
        <v>7798</v>
      </c>
      <c r="E1367" t="s">
        <v>7800</v>
      </c>
      <c r="F1367" t="s">
        <v>7309</v>
      </c>
      <c r="G1367">
        <v>-2</v>
      </c>
      <c r="H1367">
        <v>-2</v>
      </c>
      <c r="L1367" t="s">
        <v>7330</v>
      </c>
      <c r="M1367" t="s">
        <v>7330</v>
      </c>
      <c r="N1367" s="501">
        <v>1181</v>
      </c>
      <c r="P1367">
        <v>113</v>
      </c>
      <c r="Q1367" s="501">
        <v>1068</v>
      </c>
      <c r="R1367" t="s">
        <v>7331</v>
      </c>
      <c r="S1367">
        <v>0</v>
      </c>
    </row>
    <row r="1368" spans="1:19">
      <c r="A1368" t="s">
        <v>7334</v>
      </c>
      <c r="B1368">
        <v>103</v>
      </c>
      <c r="C1368" t="s">
        <v>7328</v>
      </c>
      <c r="D1368" t="s">
        <v>7798</v>
      </c>
      <c r="E1368" t="s">
        <v>8802</v>
      </c>
      <c r="F1368" t="s">
        <v>7309</v>
      </c>
      <c r="G1368">
        <v>-2.25</v>
      </c>
      <c r="H1368">
        <v>-2.25</v>
      </c>
      <c r="L1368" t="s">
        <v>7330</v>
      </c>
      <c r="M1368" t="s">
        <v>7330</v>
      </c>
      <c r="N1368" s="501">
        <v>1125</v>
      </c>
      <c r="P1368">
        <v>130</v>
      </c>
      <c r="Q1368">
        <v>995</v>
      </c>
      <c r="R1368" t="s">
        <v>7331</v>
      </c>
      <c r="S1368">
        <v>0</v>
      </c>
    </row>
    <row r="1369" spans="1:19">
      <c r="A1369" t="s">
        <v>7334</v>
      </c>
      <c r="B1369">
        <v>103</v>
      </c>
      <c r="C1369" t="s">
        <v>7328</v>
      </c>
      <c r="D1369" t="s">
        <v>7798</v>
      </c>
      <c r="E1369" t="s">
        <v>8866</v>
      </c>
      <c r="F1369" t="s">
        <v>7309</v>
      </c>
      <c r="G1369">
        <v>-2.5</v>
      </c>
      <c r="H1369">
        <v>-2.5</v>
      </c>
      <c r="L1369" t="s">
        <v>7330</v>
      </c>
      <c r="M1369" t="s">
        <v>7330</v>
      </c>
      <c r="N1369" s="501">
        <v>743</v>
      </c>
      <c r="P1369">
        <v>18</v>
      </c>
      <c r="Q1369">
        <v>725</v>
      </c>
      <c r="R1369" t="s">
        <v>7331</v>
      </c>
      <c r="S1369">
        <v>0</v>
      </c>
    </row>
    <row r="1370" spans="1:19">
      <c r="A1370" t="s">
        <v>7334</v>
      </c>
      <c r="B1370">
        <v>103</v>
      </c>
      <c r="C1370" t="s">
        <v>7328</v>
      </c>
      <c r="D1370" t="s">
        <v>7798</v>
      </c>
      <c r="E1370" t="s">
        <v>7801</v>
      </c>
      <c r="F1370" t="s">
        <v>7309</v>
      </c>
      <c r="G1370">
        <v>-2.75</v>
      </c>
      <c r="H1370">
        <v>-2.75</v>
      </c>
      <c r="L1370" t="s">
        <v>7330</v>
      </c>
      <c r="M1370" t="s">
        <v>7330</v>
      </c>
      <c r="N1370" s="501">
        <v>1122</v>
      </c>
      <c r="P1370">
        <v>111</v>
      </c>
      <c r="Q1370" s="501">
        <v>1011</v>
      </c>
      <c r="R1370" t="s">
        <v>7331</v>
      </c>
      <c r="S1370">
        <v>0</v>
      </c>
    </row>
    <row r="1371" spans="1:19">
      <c r="A1371" t="s">
        <v>7334</v>
      </c>
      <c r="B1371">
        <v>103</v>
      </c>
      <c r="C1371" t="s">
        <v>7328</v>
      </c>
      <c r="D1371" t="s">
        <v>7798</v>
      </c>
      <c r="E1371" t="s">
        <v>8803</v>
      </c>
      <c r="F1371" t="s">
        <v>7309</v>
      </c>
      <c r="G1371">
        <v>-3</v>
      </c>
      <c r="H1371">
        <v>-3</v>
      </c>
      <c r="L1371" t="s">
        <v>7330</v>
      </c>
      <c r="M1371" t="s">
        <v>7330</v>
      </c>
      <c r="N1371" s="501">
        <v>1082</v>
      </c>
      <c r="P1371">
        <v>93</v>
      </c>
      <c r="Q1371" s="501">
        <v>989</v>
      </c>
      <c r="R1371" t="s">
        <v>7331</v>
      </c>
      <c r="S1371">
        <v>0</v>
      </c>
    </row>
    <row r="1372" spans="1:19">
      <c r="A1372" t="s">
        <v>7334</v>
      </c>
      <c r="B1372">
        <v>103</v>
      </c>
      <c r="C1372" t="s">
        <v>7328</v>
      </c>
      <c r="D1372" t="s">
        <v>7798</v>
      </c>
      <c r="E1372" t="s">
        <v>8804</v>
      </c>
      <c r="F1372" t="s">
        <v>7309</v>
      </c>
      <c r="G1372">
        <v>-3.25</v>
      </c>
      <c r="H1372">
        <v>-3.25</v>
      </c>
      <c r="L1372" t="s">
        <v>7330</v>
      </c>
      <c r="M1372" t="s">
        <v>7330</v>
      </c>
      <c r="N1372" s="501">
        <v>1152</v>
      </c>
      <c r="P1372">
        <v>164</v>
      </c>
      <c r="Q1372" s="501">
        <v>988</v>
      </c>
      <c r="R1372" t="s">
        <v>7331</v>
      </c>
      <c r="S1372">
        <v>0</v>
      </c>
    </row>
    <row r="1373" spans="1:19">
      <c r="A1373" t="s">
        <v>7334</v>
      </c>
      <c r="B1373">
        <v>103</v>
      </c>
      <c r="C1373" t="s">
        <v>7328</v>
      </c>
      <c r="D1373" t="s">
        <v>7798</v>
      </c>
      <c r="E1373" t="s">
        <v>8867</v>
      </c>
      <c r="F1373" t="s">
        <v>7309</v>
      </c>
      <c r="G1373">
        <v>-3.5</v>
      </c>
      <c r="H1373">
        <v>-3.5</v>
      </c>
      <c r="L1373" t="s">
        <v>7330</v>
      </c>
      <c r="M1373" t="s">
        <v>7330</v>
      </c>
      <c r="N1373" s="501">
        <v>959</v>
      </c>
      <c r="P1373">
        <v>41</v>
      </c>
      <c r="Q1373" s="501">
        <v>918</v>
      </c>
      <c r="R1373" t="s">
        <v>7331</v>
      </c>
      <c r="S1373">
        <v>0</v>
      </c>
    </row>
    <row r="1374" spans="1:19">
      <c r="A1374" t="s">
        <v>7334</v>
      </c>
      <c r="B1374">
        <v>103</v>
      </c>
      <c r="C1374" t="s">
        <v>7328</v>
      </c>
      <c r="D1374" t="s">
        <v>7798</v>
      </c>
      <c r="E1374" t="s">
        <v>8868</v>
      </c>
      <c r="F1374" t="s">
        <v>7309</v>
      </c>
      <c r="G1374">
        <v>-3.75</v>
      </c>
      <c r="H1374">
        <v>-3.75</v>
      </c>
      <c r="L1374" t="s">
        <v>7330</v>
      </c>
      <c r="M1374" t="s">
        <v>7330</v>
      </c>
      <c r="N1374" s="501">
        <v>975</v>
      </c>
      <c r="P1374">
        <v>39</v>
      </c>
      <c r="Q1374" s="501">
        <v>936</v>
      </c>
      <c r="R1374" t="s">
        <v>7331</v>
      </c>
      <c r="S1374">
        <v>0</v>
      </c>
    </row>
    <row r="1375" spans="1:19">
      <c r="A1375" t="s">
        <v>7334</v>
      </c>
      <c r="B1375">
        <v>103</v>
      </c>
      <c r="C1375" t="s">
        <v>7328</v>
      </c>
      <c r="D1375" t="s">
        <v>7798</v>
      </c>
      <c r="E1375" t="s">
        <v>8869</v>
      </c>
      <c r="F1375" t="s">
        <v>7309</v>
      </c>
      <c r="G1375">
        <v>-4</v>
      </c>
      <c r="H1375">
        <v>-4</v>
      </c>
      <c r="L1375" t="s">
        <v>7330</v>
      </c>
      <c r="M1375" t="s">
        <v>7330</v>
      </c>
      <c r="N1375" s="501">
        <v>913</v>
      </c>
      <c r="P1375">
        <v>17</v>
      </c>
      <c r="Q1375" s="501">
        <v>896</v>
      </c>
      <c r="R1375" t="s">
        <v>7331</v>
      </c>
      <c r="S1375">
        <v>0</v>
      </c>
    </row>
    <row r="1376" spans="1:19">
      <c r="A1376" t="s">
        <v>7334</v>
      </c>
      <c r="B1376">
        <v>103</v>
      </c>
      <c r="C1376" t="s">
        <v>7328</v>
      </c>
      <c r="D1376" t="s">
        <v>7798</v>
      </c>
      <c r="E1376" t="s">
        <v>7802</v>
      </c>
      <c r="F1376" t="s">
        <v>7309</v>
      </c>
      <c r="G1376">
        <v>-4.25</v>
      </c>
      <c r="H1376">
        <v>-4.25</v>
      </c>
      <c r="L1376" t="s">
        <v>7330</v>
      </c>
      <c r="M1376" t="s">
        <v>7330</v>
      </c>
      <c r="N1376" s="501">
        <v>984</v>
      </c>
      <c r="P1376">
        <v>74</v>
      </c>
      <c r="Q1376" s="501">
        <v>910</v>
      </c>
      <c r="R1376" t="s">
        <v>7331</v>
      </c>
      <c r="S1376">
        <v>0</v>
      </c>
    </row>
    <row r="1377" spans="1:19">
      <c r="A1377" t="s">
        <v>7334</v>
      </c>
      <c r="B1377">
        <v>103</v>
      </c>
      <c r="C1377" t="s">
        <v>7328</v>
      </c>
      <c r="D1377" t="s">
        <v>7798</v>
      </c>
      <c r="E1377" t="s">
        <v>8870</v>
      </c>
      <c r="F1377" t="s">
        <v>7309</v>
      </c>
      <c r="G1377">
        <v>-4.5</v>
      </c>
      <c r="H1377">
        <v>-4.5</v>
      </c>
      <c r="L1377" t="s">
        <v>7330</v>
      </c>
      <c r="M1377" t="s">
        <v>7330</v>
      </c>
      <c r="N1377" s="501">
        <v>824</v>
      </c>
      <c r="P1377">
        <v>29</v>
      </c>
      <c r="Q1377">
        <v>795</v>
      </c>
      <c r="R1377" t="s">
        <v>7331</v>
      </c>
      <c r="S1377">
        <v>0</v>
      </c>
    </row>
    <row r="1378" spans="1:19">
      <c r="A1378" t="s">
        <v>7334</v>
      </c>
      <c r="B1378">
        <v>103</v>
      </c>
      <c r="C1378" t="s">
        <v>7328</v>
      </c>
      <c r="D1378" t="s">
        <v>7798</v>
      </c>
      <c r="E1378" t="s">
        <v>8871</v>
      </c>
      <c r="F1378" t="s">
        <v>7309</v>
      </c>
      <c r="G1378">
        <v>-4.75</v>
      </c>
      <c r="H1378">
        <v>-4.75</v>
      </c>
      <c r="L1378" t="s">
        <v>7330</v>
      </c>
      <c r="M1378" t="s">
        <v>7330</v>
      </c>
      <c r="N1378" s="501">
        <v>1025</v>
      </c>
      <c r="P1378">
        <v>41</v>
      </c>
      <c r="Q1378" s="501">
        <v>984</v>
      </c>
      <c r="R1378" t="s">
        <v>7331</v>
      </c>
      <c r="S1378">
        <v>0</v>
      </c>
    </row>
    <row r="1379" spans="1:19">
      <c r="A1379" t="s">
        <v>7334</v>
      </c>
      <c r="B1379">
        <v>103</v>
      </c>
      <c r="C1379" t="s">
        <v>7328</v>
      </c>
      <c r="D1379" t="s">
        <v>7798</v>
      </c>
      <c r="E1379" t="s">
        <v>8813</v>
      </c>
      <c r="F1379" t="s">
        <v>7309</v>
      </c>
      <c r="G1379">
        <v>-5</v>
      </c>
      <c r="H1379">
        <v>-5</v>
      </c>
      <c r="L1379" t="s">
        <v>7330</v>
      </c>
      <c r="M1379" t="s">
        <v>7330</v>
      </c>
      <c r="N1379" s="501">
        <v>1200</v>
      </c>
      <c r="P1379">
        <v>55</v>
      </c>
      <c r="Q1379" s="501">
        <v>1145</v>
      </c>
      <c r="R1379" t="s">
        <v>7331</v>
      </c>
      <c r="S1379">
        <v>0</v>
      </c>
    </row>
    <row r="1380" spans="1:19">
      <c r="A1380" t="s">
        <v>7334</v>
      </c>
      <c r="B1380">
        <v>103</v>
      </c>
      <c r="C1380" t="s">
        <v>7328</v>
      </c>
      <c r="D1380" t="s">
        <v>7798</v>
      </c>
      <c r="E1380" t="s">
        <v>8872</v>
      </c>
      <c r="F1380" t="s">
        <v>7309</v>
      </c>
      <c r="G1380">
        <v>-5.5</v>
      </c>
      <c r="H1380">
        <v>-5.5</v>
      </c>
      <c r="L1380" t="s">
        <v>7330</v>
      </c>
      <c r="M1380" t="s">
        <v>7330</v>
      </c>
      <c r="N1380" s="501">
        <v>1037</v>
      </c>
      <c r="P1380">
        <v>17</v>
      </c>
      <c r="Q1380" s="501">
        <v>1020</v>
      </c>
      <c r="R1380" t="s">
        <v>7331</v>
      </c>
      <c r="S1380">
        <v>0</v>
      </c>
    </row>
    <row r="1381" spans="1:19">
      <c r="A1381" t="s">
        <v>7334</v>
      </c>
      <c r="B1381">
        <v>103</v>
      </c>
      <c r="C1381" t="s">
        <v>7328</v>
      </c>
      <c r="D1381" t="s">
        <v>7798</v>
      </c>
      <c r="E1381" t="s">
        <v>8873</v>
      </c>
      <c r="F1381" t="s">
        <v>7309</v>
      </c>
      <c r="G1381">
        <v>-6</v>
      </c>
      <c r="H1381">
        <v>-6</v>
      </c>
      <c r="L1381" t="s">
        <v>7330</v>
      </c>
      <c r="M1381" t="s">
        <v>7330</v>
      </c>
      <c r="N1381">
        <v>978</v>
      </c>
      <c r="P1381">
        <v>22</v>
      </c>
      <c r="Q1381">
        <v>956</v>
      </c>
      <c r="R1381" t="s">
        <v>7331</v>
      </c>
      <c r="S1381">
        <v>0</v>
      </c>
    </row>
    <row r="1382" spans="1:19">
      <c r="A1382" t="s">
        <v>7334</v>
      </c>
      <c r="B1382">
        <v>103</v>
      </c>
      <c r="C1382" t="s">
        <v>7328</v>
      </c>
      <c r="D1382" t="s">
        <v>7798</v>
      </c>
      <c r="E1382" t="s">
        <v>7803</v>
      </c>
      <c r="F1382" t="s">
        <v>7309</v>
      </c>
      <c r="G1382">
        <v>-6.5</v>
      </c>
      <c r="H1382">
        <v>-6.5</v>
      </c>
      <c r="L1382" t="s">
        <v>7330</v>
      </c>
      <c r="M1382" t="s">
        <v>7330</v>
      </c>
      <c r="N1382" s="501">
        <v>493</v>
      </c>
      <c r="P1382">
        <v>79</v>
      </c>
      <c r="Q1382">
        <v>414</v>
      </c>
      <c r="R1382" t="s">
        <v>7331</v>
      </c>
      <c r="S1382">
        <v>0</v>
      </c>
    </row>
    <row r="1383" spans="1:19">
      <c r="A1383" t="s">
        <v>7334</v>
      </c>
      <c r="B1383">
        <v>103</v>
      </c>
      <c r="C1383" t="s">
        <v>7328</v>
      </c>
      <c r="D1383" t="s">
        <v>7798</v>
      </c>
      <c r="E1383" t="s">
        <v>8814</v>
      </c>
      <c r="F1383" t="s">
        <v>7309</v>
      </c>
      <c r="G1383">
        <v>-7</v>
      </c>
      <c r="H1383">
        <v>-7</v>
      </c>
      <c r="L1383" t="s">
        <v>7330</v>
      </c>
      <c r="M1383" t="s">
        <v>7330</v>
      </c>
      <c r="N1383" s="501">
        <v>895</v>
      </c>
      <c r="P1383">
        <v>92</v>
      </c>
      <c r="Q1383">
        <v>803</v>
      </c>
      <c r="R1383" t="s">
        <v>7331</v>
      </c>
      <c r="S1383">
        <v>0</v>
      </c>
    </row>
    <row r="1384" spans="1:19">
      <c r="A1384" t="s">
        <v>7334</v>
      </c>
      <c r="B1384">
        <v>103</v>
      </c>
      <c r="C1384" t="s">
        <v>7328</v>
      </c>
      <c r="D1384" t="s">
        <v>7798</v>
      </c>
      <c r="E1384" t="s">
        <v>8874</v>
      </c>
      <c r="F1384" t="s">
        <v>7309</v>
      </c>
      <c r="G1384">
        <v>-7.5</v>
      </c>
      <c r="H1384">
        <v>-7.5</v>
      </c>
      <c r="L1384" t="s">
        <v>7330</v>
      </c>
      <c r="M1384" t="s">
        <v>7330</v>
      </c>
      <c r="N1384" s="501">
        <v>1005</v>
      </c>
      <c r="P1384">
        <v>17</v>
      </c>
      <c r="Q1384">
        <v>988</v>
      </c>
      <c r="R1384" t="s">
        <v>7331</v>
      </c>
      <c r="S1384">
        <v>0</v>
      </c>
    </row>
    <row r="1385" spans="1:19">
      <c r="A1385" t="s">
        <v>7334</v>
      </c>
      <c r="B1385">
        <v>103</v>
      </c>
      <c r="C1385" t="s">
        <v>7328</v>
      </c>
      <c r="D1385" t="s">
        <v>7798</v>
      </c>
      <c r="E1385" t="s">
        <v>8875</v>
      </c>
      <c r="F1385" t="s">
        <v>7309</v>
      </c>
      <c r="G1385">
        <v>-8</v>
      </c>
      <c r="H1385">
        <v>-8</v>
      </c>
      <c r="L1385" t="s">
        <v>7330</v>
      </c>
      <c r="M1385" t="s">
        <v>7330</v>
      </c>
      <c r="N1385">
        <v>983</v>
      </c>
      <c r="P1385">
        <v>17</v>
      </c>
      <c r="Q1385">
        <v>966</v>
      </c>
      <c r="R1385" t="s">
        <v>7331</v>
      </c>
      <c r="S1385">
        <v>0</v>
      </c>
    </row>
    <row r="1386" spans="1:19">
      <c r="A1386" t="s">
        <v>7334</v>
      </c>
      <c r="B1386">
        <v>103</v>
      </c>
      <c r="C1386" t="s">
        <v>7328</v>
      </c>
      <c r="D1386" t="s">
        <v>7385</v>
      </c>
      <c r="E1386" t="s">
        <v>8876</v>
      </c>
      <c r="F1386" t="s">
        <v>7308</v>
      </c>
      <c r="G1386">
        <v>0</v>
      </c>
      <c r="H1386">
        <v>0</v>
      </c>
      <c r="L1386" t="s">
        <v>7330</v>
      </c>
      <c r="M1386" t="s">
        <v>7330</v>
      </c>
      <c r="N1386">
        <v>663</v>
      </c>
      <c r="P1386">
        <v>261</v>
      </c>
      <c r="Q1386">
        <v>402</v>
      </c>
      <c r="R1386" t="s">
        <v>7331</v>
      </c>
      <c r="S1386">
        <v>0</v>
      </c>
    </row>
    <row r="1387" spans="1:19">
      <c r="A1387" t="s">
        <v>7334</v>
      </c>
      <c r="B1387">
        <v>103</v>
      </c>
      <c r="C1387" t="s">
        <v>7328</v>
      </c>
      <c r="D1387" t="s">
        <v>7385</v>
      </c>
      <c r="E1387" t="s">
        <v>7386</v>
      </c>
      <c r="F1387" t="s">
        <v>7308</v>
      </c>
      <c r="G1387">
        <v>-1</v>
      </c>
      <c r="H1387">
        <v>-1</v>
      </c>
      <c r="L1387" t="s">
        <v>7330</v>
      </c>
      <c r="M1387" t="s">
        <v>7330</v>
      </c>
      <c r="N1387">
        <v>641</v>
      </c>
      <c r="P1387">
        <v>188</v>
      </c>
      <c r="Q1387">
        <v>453</v>
      </c>
      <c r="R1387" t="s">
        <v>7331</v>
      </c>
      <c r="S1387">
        <v>0</v>
      </c>
    </row>
    <row r="1388" spans="1:19">
      <c r="A1388" t="s">
        <v>7334</v>
      </c>
      <c r="B1388">
        <v>103</v>
      </c>
      <c r="C1388" t="s">
        <v>7328</v>
      </c>
      <c r="D1388" t="s">
        <v>7385</v>
      </c>
      <c r="E1388" t="s">
        <v>7387</v>
      </c>
      <c r="F1388" t="s">
        <v>7308</v>
      </c>
      <c r="G1388">
        <v>-1.25</v>
      </c>
      <c r="H1388">
        <v>-1.25</v>
      </c>
      <c r="L1388" t="s">
        <v>7330</v>
      </c>
      <c r="M1388" t="s">
        <v>7330</v>
      </c>
      <c r="N1388">
        <v>858</v>
      </c>
      <c r="P1388">
        <v>57</v>
      </c>
      <c r="Q1388">
        <v>801</v>
      </c>
      <c r="R1388" t="s">
        <v>7331</v>
      </c>
      <c r="S1388">
        <v>0</v>
      </c>
    </row>
    <row r="1389" spans="1:19">
      <c r="A1389" t="s">
        <v>7334</v>
      </c>
      <c r="B1389">
        <v>103</v>
      </c>
      <c r="C1389" t="s">
        <v>7328</v>
      </c>
      <c r="D1389" t="s">
        <v>7385</v>
      </c>
      <c r="E1389" t="s">
        <v>8954</v>
      </c>
      <c r="F1389" t="s">
        <v>7308</v>
      </c>
      <c r="G1389">
        <v>-1.5</v>
      </c>
      <c r="H1389">
        <v>-1.5</v>
      </c>
      <c r="L1389" t="s">
        <v>7330</v>
      </c>
      <c r="M1389" t="s">
        <v>7330</v>
      </c>
      <c r="N1389">
        <v>916</v>
      </c>
      <c r="P1389">
        <v>19</v>
      </c>
      <c r="Q1389">
        <v>897</v>
      </c>
      <c r="R1389" t="s">
        <v>7331</v>
      </c>
      <c r="S1389">
        <v>0</v>
      </c>
    </row>
    <row r="1390" spans="1:19">
      <c r="A1390" t="s">
        <v>7334</v>
      </c>
      <c r="B1390">
        <v>103</v>
      </c>
      <c r="C1390" t="s">
        <v>7328</v>
      </c>
      <c r="D1390" t="s">
        <v>7385</v>
      </c>
      <c r="E1390" t="s">
        <v>7388</v>
      </c>
      <c r="F1390" t="s">
        <v>7308</v>
      </c>
      <c r="G1390">
        <v>-1.75</v>
      </c>
      <c r="H1390">
        <v>-1.75</v>
      </c>
      <c r="L1390" t="s">
        <v>7330</v>
      </c>
      <c r="M1390" t="s">
        <v>7330</v>
      </c>
      <c r="N1390">
        <v>590</v>
      </c>
      <c r="P1390">
        <v>182</v>
      </c>
      <c r="Q1390">
        <v>408</v>
      </c>
      <c r="R1390" t="s">
        <v>7331</v>
      </c>
      <c r="S1390">
        <v>0</v>
      </c>
    </row>
    <row r="1391" spans="1:19">
      <c r="A1391" t="s">
        <v>7334</v>
      </c>
      <c r="B1391">
        <v>103</v>
      </c>
      <c r="C1391" t="s">
        <v>7328</v>
      </c>
      <c r="D1391" t="s">
        <v>7385</v>
      </c>
      <c r="E1391" t="s">
        <v>7389</v>
      </c>
      <c r="F1391" t="s">
        <v>7308</v>
      </c>
      <c r="G1391">
        <v>-2</v>
      </c>
      <c r="H1391">
        <v>-2</v>
      </c>
      <c r="L1391" t="s">
        <v>7330</v>
      </c>
      <c r="M1391" t="s">
        <v>7330</v>
      </c>
      <c r="N1391" s="501">
        <v>1002</v>
      </c>
      <c r="P1391">
        <v>162</v>
      </c>
      <c r="Q1391">
        <v>840</v>
      </c>
      <c r="R1391" t="s">
        <v>7331</v>
      </c>
      <c r="S1391">
        <v>0</v>
      </c>
    </row>
    <row r="1392" spans="1:19">
      <c r="A1392" t="s">
        <v>7334</v>
      </c>
      <c r="B1392">
        <v>103</v>
      </c>
      <c r="C1392" t="s">
        <v>7328</v>
      </c>
      <c r="D1392" t="s">
        <v>7385</v>
      </c>
      <c r="E1392" t="s">
        <v>7804</v>
      </c>
      <c r="F1392" t="s">
        <v>7308</v>
      </c>
      <c r="G1392">
        <v>-2.25</v>
      </c>
      <c r="H1392">
        <v>-2.25</v>
      </c>
      <c r="L1392" t="s">
        <v>7330</v>
      </c>
      <c r="M1392" t="s">
        <v>7330</v>
      </c>
      <c r="N1392">
        <v>602</v>
      </c>
      <c r="P1392">
        <v>355</v>
      </c>
      <c r="Q1392">
        <v>247</v>
      </c>
      <c r="R1392" t="s">
        <v>7331</v>
      </c>
      <c r="S1392">
        <v>0</v>
      </c>
    </row>
    <row r="1393" spans="1:19">
      <c r="A1393" t="s">
        <v>7334</v>
      </c>
      <c r="B1393">
        <v>103</v>
      </c>
      <c r="C1393" t="s">
        <v>7328</v>
      </c>
      <c r="D1393" t="s">
        <v>7385</v>
      </c>
      <c r="E1393" t="s">
        <v>8955</v>
      </c>
      <c r="F1393" t="s">
        <v>7308</v>
      </c>
      <c r="G1393">
        <v>-2.5</v>
      </c>
      <c r="H1393">
        <v>-2.5</v>
      </c>
      <c r="L1393" t="s">
        <v>7330</v>
      </c>
      <c r="M1393" t="s">
        <v>7330</v>
      </c>
      <c r="N1393" s="501">
        <v>1036</v>
      </c>
      <c r="P1393">
        <v>18</v>
      </c>
      <c r="Q1393" s="501">
        <v>1018</v>
      </c>
      <c r="R1393" t="s">
        <v>7331</v>
      </c>
      <c r="S1393">
        <v>0</v>
      </c>
    </row>
    <row r="1394" spans="1:19">
      <c r="A1394" t="s">
        <v>7334</v>
      </c>
      <c r="B1394">
        <v>103</v>
      </c>
      <c r="C1394" t="s">
        <v>7328</v>
      </c>
      <c r="D1394" t="s">
        <v>7385</v>
      </c>
      <c r="E1394" t="s">
        <v>8956</v>
      </c>
      <c r="F1394" t="s">
        <v>7308</v>
      </c>
      <c r="G1394">
        <v>-2.75</v>
      </c>
      <c r="H1394">
        <v>-2.75</v>
      </c>
      <c r="L1394" t="s">
        <v>7330</v>
      </c>
      <c r="M1394" t="s">
        <v>7330</v>
      </c>
      <c r="N1394">
        <v>102</v>
      </c>
      <c r="P1394">
        <v>102</v>
      </c>
      <c r="R1394" t="s">
        <v>7331</v>
      </c>
      <c r="S1394">
        <v>0</v>
      </c>
    </row>
    <row r="1395" spans="1:19">
      <c r="A1395" t="s">
        <v>7334</v>
      </c>
      <c r="B1395">
        <v>103</v>
      </c>
      <c r="C1395" t="s">
        <v>7328</v>
      </c>
      <c r="D1395" t="s">
        <v>7385</v>
      </c>
      <c r="E1395" t="s">
        <v>8957</v>
      </c>
      <c r="F1395" t="s">
        <v>7308</v>
      </c>
      <c r="G1395">
        <v>-3.25</v>
      </c>
      <c r="H1395">
        <v>-3.25</v>
      </c>
      <c r="L1395" t="s">
        <v>7330</v>
      </c>
      <c r="M1395" t="s">
        <v>7330</v>
      </c>
      <c r="N1395">
        <v>207</v>
      </c>
      <c r="P1395">
        <v>17</v>
      </c>
      <c r="Q1395">
        <v>190</v>
      </c>
      <c r="R1395" t="s">
        <v>7331</v>
      </c>
      <c r="S1395">
        <v>0</v>
      </c>
    </row>
    <row r="1396" spans="1:19">
      <c r="A1396" t="s">
        <v>7334</v>
      </c>
      <c r="B1396">
        <v>103</v>
      </c>
      <c r="C1396" t="s">
        <v>7328</v>
      </c>
      <c r="D1396" t="s">
        <v>7385</v>
      </c>
      <c r="E1396" t="s">
        <v>8958</v>
      </c>
      <c r="F1396" t="s">
        <v>7308</v>
      </c>
      <c r="G1396">
        <v>-3.5</v>
      </c>
      <c r="H1396">
        <v>-3.5</v>
      </c>
      <c r="L1396" t="s">
        <v>7330</v>
      </c>
      <c r="M1396" t="s">
        <v>7330</v>
      </c>
      <c r="N1396">
        <v>550</v>
      </c>
      <c r="P1396">
        <v>17</v>
      </c>
      <c r="Q1396">
        <v>533</v>
      </c>
      <c r="R1396" t="s">
        <v>7331</v>
      </c>
      <c r="S1396">
        <v>0</v>
      </c>
    </row>
    <row r="1397" spans="1:19">
      <c r="A1397" t="s">
        <v>7334</v>
      </c>
      <c r="B1397">
        <v>103</v>
      </c>
      <c r="C1397" t="s">
        <v>7328</v>
      </c>
      <c r="D1397" t="s">
        <v>7385</v>
      </c>
      <c r="E1397" t="s">
        <v>7390</v>
      </c>
      <c r="F1397" t="s">
        <v>7308</v>
      </c>
      <c r="G1397">
        <v>-3.75</v>
      </c>
      <c r="H1397">
        <v>-3.75</v>
      </c>
      <c r="L1397" t="s">
        <v>7330</v>
      </c>
      <c r="M1397" t="s">
        <v>7330</v>
      </c>
      <c r="N1397">
        <v>144</v>
      </c>
      <c r="P1397">
        <v>90</v>
      </c>
      <c r="Q1397">
        <v>54</v>
      </c>
      <c r="R1397" t="s">
        <v>7331</v>
      </c>
      <c r="S1397">
        <v>0</v>
      </c>
    </row>
    <row r="1398" spans="1:19">
      <c r="A1398" t="s">
        <v>7334</v>
      </c>
      <c r="B1398">
        <v>103</v>
      </c>
      <c r="C1398" t="s">
        <v>7328</v>
      </c>
      <c r="D1398" t="s">
        <v>7385</v>
      </c>
      <c r="E1398" t="s">
        <v>7391</v>
      </c>
      <c r="F1398" t="s">
        <v>7308</v>
      </c>
      <c r="G1398">
        <v>-4</v>
      </c>
      <c r="H1398">
        <v>-4</v>
      </c>
      <c r="L1398" t="s">
        <v>7330</v>
      </c>
      <c r="M1398" t="s">
        <v>7330</v>
      </c>
      <c r="N1398" s="501">
        <v>1014</v>
      </c>
      <c r="P1398">
        <v>52</v>
      </c>
      <c r="Q1398">
        <v>962</v>
      </c>
      <c r="R1398" t="s">
        <v>7331</v>
      </c>
      <c r="S1398">
        <v>0</v>
      </c>
    </row>
    <row r="1399" spans="1:19">
      <c r="A1399" t="s">
        <v>7334</v>
      </c>
      <c r="B1399">
        <v>103</v>
      </c>
      <c r="C1399" t="s">
        <v>7328</v>
      </c>
      <c r="D1399" t="s">
        <v>7385</v>
      </c>
      <c r="E1399" t="s">
        <v>9169</v>
      </c>
      <c r="F1399" t="s">
        <v>7308</v>
      </c>
      <c r="G1399">
        <v>-4.25</v>
      </c>
      <c r="H1399">
        <v>-4.25</v>
      </c>
      <c r="L1399" t="s">
        <v>7330</v>
      </c>
      <c r="M1399" t="s">
        <v>7330</v>
      </c>
      <c r="N1399">
        <v>1</v>
      </c>
      <c r="P1399">
        <v>1</v>
      </c>
      <c r="R1399" t="s">
        <v>7331</v>
      </c>
      <c r="S1399">
        <v>0</v>
      </c>
    </row>
    <row r="1400" spans="1:19">
      <c r="A1400" t="s">
        <v>7334</v>
      </c>
      <c r="B1400">
        <v>103</v>
      </c>
      <c r="C1400" t="s">
        <v>7328</v>
      </c>
      <c r="D1400" t="s">
        <v>7385</v>
      </c>
      <c r="E1400" t="s">
        <v>7392</v>
      </c>
      <c r="F1400" t="s">
        <v>7308</v>
      </c>
      <c r="G1400">
        <v>-4.5</v>
      </c>
      <c r="H1400">
        <v>-4.5</v>
      </c>
      <c r="L1400" t="s">
        <v>7330</v>
      </c>
      <c r="M1400" t="s">
        <v>7330</v>
      </c>
      <c r="N1400">
        <v>812</v>
      </c>
      <c r="P1400">
        <v>91</v>
      </c>
      <c r="Q1400">
        <v>721</v>
      </c>
      <c r="R1400" t="s">
        <v>7331</v>
      </c>
      <c r="S1400">
        <v>0</v>
      </c>
    </row>
    <row r="1401" spans="1:19">
      <c r="A1401" t="s">
        <v>7334</v>
      </c>
      <c r="B1401">
        <v>103</v>
      </c>
      <c r="C1401" t="s">
        <v>7328</v>
      </c>
      <c r="D1401" t="s">
        <v>7385</v>
      </c>
      <c r="E1401" t="s">
        <v>7393</v>
      </c>
      <c r="F1401" t="s">
        <v>7308</v>
      </c>
      <c r="G1401">
        <v>-4.75</v>
      </c>
      <c r="H1401">
        <v>-4.75</v>
      </c>
      <c r="L1401" t="s">
        <v>7330</v>
      </c>
      <c r="M1401" t="s">
        <v>7330</v>
      </c>
      <c r="N1401" s="501">
        <v>1087</v>
      </c>
      <c r="P1401">
        <v>167</v>
      </c>
      <c r="Q1401">
        <v>920</v>
      </c>
      <c r="R1401" t="s">
        <v>7331</v>
      </c>
      <c r="S1401">
        <v>0</v>
      </c>
    </row>
    <row r="1402" spans="1:19">
      <c r="A1402" t="s">
        <v>7334</v>
      </c>
      <c r="B1402">
        <v>103</v>
      </c>
      <c r="C1402" t="s">
        <v>7328</v>
      </c>
      <c r="D1402" t="s">
        <v>7385</v>
      </c>
      <c r="E1402" t="s">
        <v>7394</v>
      </c>
      <c r="F1402" t="s">
        <v>7308</v>
      </c>
      <c r="G1402">
        <v>-5</v>
      </c>
      <c r="H1402">
        <v>-5</v>
      </c>
      <c r="L1402" t="s">
        <v>7330</v>
      </c>
      <c r="M1402" t="s">
        <v>7330</v>
      </c>
      <c r="N1402">
        <v>736</v>
      </c>
      <c r="P1402">
        <v>110</v>
      </c>
      <c r="Q1402">
        <v>626</v>
      </c>
      <c r="R1402" t="s">
        <v>7331</v>
      </c>
      <c r="S1402">
        <v>0</v>
      </c>
    </row>
    <row r="1403" spans="1:19">
      <c r="A1403" t="s">
        <v>7334</v>
      </c>
      <c r="B1403">
        <v>103</v>
      </c>
      <c r="C1403" t="s">
        <v>7328</v>
      </c>
      <c r="D1403" t="s">
        <v>7385</v>
      </c>
      <c r="E1403" t="s">
        <v>7395</v>
      </c>
      <c r="F1403" t="s">
        <v>7308</v>
      </c>
      <c r="G1403">
        <v>-5.5</v>
      </c>
      <c r="H1403">
        <v>-5.5</v>
      </c>
      <c r="L1403" t="s">
        <v>7330</v>
      </c>
      <c r="M1403" t="s">
        <v>7330</v>
      </c>
      <c r="N1403">
        <v>731</v>
      </c>
      <c r="P1403">
        <v>161</v>
      </c>
      <c r="Q1403">
        <v>570</v>
      </c>
      <c r="R1403" t="s">
        <v>7331</v>
      </c>
      <c r="S1403">
        <v>0</v>
      </c>
    </row>
    <row r="1404" spans="1:19">
      <c r="A1404" t="s">
        <v>7334</v>
      </c>
      <c r="B1404">
        <v>103</v>
      </c>
      <c r="C1404" t="s">
        <v>7328</v>
      </c>
      <c r="D1404" t="s">
        <v>7385</v>
      </c>
      <c r="E1404" t="s">
        <v>8959</v>
      </c>
      <c r="F1404" t="s">
        <v>7308</v>
      </c>
      <c r="G1404">
        <v>-6</v>
      </c>
      <c r="H1404">
        <v>-6</v>
      </c>
      <c r="L1404" t="s">
        <v>7330</v>
      </c>
      <c r="M1404" t="s">
        <v>7330</v>
      </c>
      <c r="N1404">
        <v>847</v>
      </c>
      <c r="P1404">
        <v>57</v>
      </c>
      <c r="Q1404">
        <v>790</v>
      </c>
      <c r="R1404" t="s">
        <v>7331</v>
      </c>
      <c r="S1404">
        <v>0</v>
      </c>
    </row>
    <row r="1405" spans="1:19">
      <c r="A1405" t="s">
        <v>7334</v>
      </c>
      <c r="B1405">
        <v>103</v>
      </c>
      <c r="C1405" t="s">
        <v>7328</v>
      </c>
      <c r="D1405" t="s">
        <v>7385</v>
      </c>
      <c r="E1405" t="s">
        <v>7805</v>
      </c>
      <c r="F1405" t="s">
        <v>7308</v>
      </c>
      <c r="G1405">
        <v>-6.5</v>
      </c>
      <c r="H1405">
        <v>-6.5</v>
      </c>
      <c r="L1405" t="s">
        <v>7330</v>
      </c>
      <c r="M1405" t="s">
        <v>7330</v>
      </c>
      <c r="N1405">
        <v>929</v>
      </c>
      <c r="P1405">
        <v>109</v>
      </c>
      <c r="Q1405">
        <v>820</v>
      </c>
      <c r="R1405" t="s">
        <v>7331</v>
      </c>
      <c r="S1405">
        <v>0</v>
      </c>
    </row>
    <row r="1406" spans="1:19">
      <c r="A1406" t="s">
        <v>7334</v>
      </c>
      <c r="B1406">
        <v>103</v>
      </c>
      <c r="C1406" t="s">
        <v>7328</v>
      </c>
      <c r="D1406" t="s">
        <v>7385</v>
      </c>
      <c r="E1406" t="s">
        <v>8815</v>
      </c>
      <c r="F1406" t="s">
        <v>7308</v>
      </c>
      <c r="G1406">
        <v>-7</v>
      </c>
      <c r="H1406">
        <v>-7</v>
      </c>
      <c r="L1406" t="s">
        <v>7330</v>
      </c>
      <c r="M1406" t="s">
        <v>7330</v>
      </c>
      <c r="N1406">
        <v>987</v>
      </c>
      <c r="P1406">
        <v>247</v>
      </c>
      <c r="Q1406">
        <v>740</v>
      </c>
      <c r="R1406" t="s">
        <v>7331</v>
      </c>
      <c r="S1406">
        <v>0</v>
      </c>
    </row>
    <row r="1407" spans="1:19">
      <c r="A1407" t="s">
        <v>7334</v>
      </c>
      <c r="B1407">
        <v>103</v>
      </c>
      <c r="C1407" t="s">
        <v>7328</v>
      </c>
      <c r="D1407" t="s">
        <v>7385</v>
      </c>
      <c r="E1407" t="s">
        <v>8816</v>
      </c>
      <c r="F1407" t="s">
        <v>7308</v>
      </c>
      <c r="G1407">
        <v>-7.5</v>
      </c>
      <c r="H1407">
        <v>-7.5</v>
      </c>
      <c r="L1407" t="s">
        <v>7330</v>
      </c>
      <c r="M1407" t="s">
        <v>7330</v>
      </c>
      <c r="N1407">
        <v>894</v>
      </c>
      <c r="P1407">
        <v>134</v>
      </c>
      <c r="Q1407">
        <v>760</v>
      </c>
      <c r="R1407" t="s">
        <v>7331</v>
      </c>
      <c r="S1407">
        <v>0</v>
      </c>
    </row>
    <row r="1408" spans="1:19">
      <c r="A1408" t="s">
        <v>7334</v>
      </c>
      <c r="B1408">
        <v>103</v>
      </c>
      <c r="C1408" t="s">
        <v>7328</v>
      </c>
      <c r="D1408" t="s">
        <v>7385</v>
      </c>
      <c r="E1408" t="s">
        <v>7806</v>
      </c>
      <c r="F1408" t="s">
        <v>7308</v>
      </c>
      <c r="G1408">
        <v>-8</v>
      </c>
      <c r="H1408">
        <v>-8</v>
      </c>
      <c r="L1408" t="s">
        <v>7330</v>
      </c>
      <c r="M1408" t="s">
        <v>7330</v>
      </c>
      <c r="N1408">
        <v>798</v>
      </c>
      <c r="P1408">
        <v>80</v>
      </c>
      <c r="Q1408">
        <v>718</v>
      </c>
      <c r="R1408" t="s">
        <v>7331</v>
      </c>
      <c r="S1408">
        <v>0</v>
      </c>
    </row>
    <row r="1409" spans="1:19">
      <c r="A1409" t="s">
        <v>7334</v>
      </c>
      <c r="B1409">
        <v>103</v>
      </c>
      <c r="C1409" t="s">
        <v>7328</v>
      </c>
      <c r="D1409" t="s">
        <v>7807</v>
      </c>
      <c r="E1409" t="s">
        <v>8987</v>
      </c>
      <c r="F1409" t="s">
        <v>7300</v>
      </c>
      <c r="G1409">
        <v>0</v>
      </c>
      <c r="H1409">
        <v>0</v>
      </c>
      <c r="L1409" t="s">
        <v>7330</v>
      </c>
      <c r="M1409" t="s">
        <v>7330</v>
      </c>
      <c r="N1409">
        <v>598</v>
      </c>
      <c r="P1409">
        <v>11</v>
      </c>
      <c r="Q1409">
        <v>587</v>
      </c>
      <c r="R1409" t="s">
        <v>7331</v>
      </c>
      <c r="S1409">
        <v>0</v>
      </c>
    </row>
    <row r="1410" spans="1:19">
      <c r="A1410" t="s">
        <v>7334</v>
      </c>
      <c r="B1410">
        <v>103</v>
      </c>
      <c r="C1410" t="s">
        <v>7328</v>
      </c>
      <c r="D1410" t="s">
        <v>7807</v>
      </c>
      <c r="E1410" t="s">
        <v>7808</v>
      </c>
      <c r="F1410" t="s">
        <v>7300</v>
      </c>
      <c r="G1410">
        <v>-0.5</v>
      </c>
      <c r="H1410">
        <v>-0.5</v>
      </c>
      <c r="L1410" t="s">
        <v>7330</v>
      </c>
      <c r="M1410" t="s">
        <v>7330</v>
      </c>
      <c r="N1410">
        <v>832</v>
      </c>
      <c r="P1410">
        <v>94</v>
      </c>
      <c r="Q1410">
        <v>738</v>
      </c>
      <c r="R1410" t="s">
        <v>7331</v>
      </c>
      <c r="S1410">
        <v>0</v>
      </c>
    </row>
    <row r="1411" spans="1:19">
      <c r="A1411" t="s">
        <v>7334</v>
      </c>
      <c r="B1411">
        <v>103</v>
      </c>
      <c r="C1411" t="s">
        <v>7328</v>
      </c>
      <c r="D1411" t="s">
        <v>7807</v>
      </c>
      <c r="E1411" t="s">
        <v>7809</v>
      </c>
      <c r="F1411" t="s">
        <v>7300</v>
      </c>
      <c r="G1411">
        <v>-0.75</v>
      </c>
      <c r="H1411">
        <v>-0.75</v>
      </c>
      <c r="L1411" t="s">
        <v>7330</v>
      </c>
      <c r="M1411" t="s">
        <v>7330</v>
      </c>
      <c r="N1411">
        <v>950</v>
      </c>
      <c r="P1411">
        <v>101</v>
      </c>
      <c r="Q1411">
        <v>849</v>
      </c>
      <c r="R1411" t="s">
        <v>7331</v>
      </c>
      <c r="S1411">
        <v>0</v>
      </c>
    </row>
    <row r="1412" spans="1:19">
      <c r="A1412" t="s">
        <v>7334</v>
      </c>
      <c r="B1412">
        <v>103</v>
      </c>
      <c r="C1412" t="s">
        <v>7328</v>
      </c>
      <c r="D1412" t="s">
        <v>7807</v>
      </c>
      <c r="E1412" t="s">
        <v>7810</v>
      </c>
      <c r="F1412" t="s">
        <v>7300</v>
      </c>
      <c r="G1412">
        <v>-1</v>
      </c>
      <c r="H1412">
        <v>-1</v>
      </c>
      <c r="L1412" t="s">
        <v>7330</v>
      </c>
      <c r="M1412" t="s">
        <v>7330</v>
      </c>
      <c r="N1412">
        <v>168</v>
      </c>
      <c r="O1412">
        <v>366</v>
      </c>
      <c r="P1412">
        <v>121</v>
      </c>
      <c r="Q1412">
        <v>413</v>
      </c>
      <c r="R1412" t="s">
        <v>7331</v>
      </c>
      <c r="S1412">
        <v>0</v>
      </c>
    </row>
    <row r="1413" spans="1:19">
      <c r="A1413" t="s">
        <v>7334</v>
      </c>
      <c r="B1413">
        <v>103</v>
      </c>
      <c r="C1413" t="s">
        <v>7328</v>
      </c>
      <c r="D1413" t="s">
        <v>7807</v>
      </c>
      <c r="E1413" t="s">
        <v>7811</v>
      </c>
      <c r="F1413" t="s">
        <v>7300</v>
      </c>
      <c r="G1413">
        <v>-1.25</v>
      </c>
      <c r="H1413">
        <v>-1.25</v>
      </c>
      <c r="L1413" t="s">
        <v>7330</v>
      </c>
      <c r="M1413" t="s">
        <v>7330</v>
      </c>
      <c r="N1413">
        <v>154</v>
      </c>
      <c r="P1413">
        <v>118</v>
      </c>
      <c r="Q1413">
        <v>36</v>
      </c>
      <c r="R1413" t="s">
        <v>7331</v>
      </c>
      <c r="S1413">
        <v>0</v>
      </c>
    </row>
    <row r="1414" spans="1:19">
      <c r="A1414" t="s">
        <v>7334</v>
      </c>
      <c r="B1414">
        <v>103</v>
      </c>
      <c r="C1414" t="s">
        <v>7328</v>
      </c>
      <c r="D1414" t="s">
        <v>7807</v>
      </c>
      <c r="E1414" t="s">
        <v>7812</v>
      </c>
      <c r="F1414" t="s">
        <v>7300</v>
      </c>
      <c r="G1414">
        <v>-1.5</v>
      </c>
      <c r="H1414">
        <v>-1.5</v>
      </c>
      <c r="L1414" t="s">
        <v>7330</v>
      </c>
      <c r="M1414" t="s">
        <v>7330</v>
      </c>
      <c r="N1414">
        <v>770</v>
      </c>
      <c r="P1414">
        <v>171</v>
      </c>
      <c r="Q1414">
        <v>599</v>
      </c>
      <c r="R1414" t="s">
        <v>7331</v>
      </c>
      <c r="S1414">
        <v>0</v>
      </c>
    </row>
    <row r="1415" spans="1:19">
      <c r="A1415" t="s">
        <v>7334</v>
      </c>
      <c r="B1415">
        <v>103</v>
      </c>
      <c r="C1415" t="s">
        <v>7328</v>
      </c>
      <c r="D1415" t="s">
        <v>7807</v>
      </c>
      <c r="E1415" t="s">
        <v>7813</v>
      </c>
      <c r="F1415" t="s">
        <v>7300</v>
      </c>
      <c r="G1415">
        <v>-1.75</v>
      </c>
      <c r="H1415">
        <v>-1.75</v>
      </c>
      <c r="L1415" t="s">
        <v>7330</v>
      </c>
      <c r="M1415" t="s">
        <v>7330</v>
      </c>
      <c r="N1415">
        <v>169</v>
      </c>
      <c r="O1415">
        <v>382</v>
      </c>
      <c r="P1415">
        <v>123</v>
      </c>
      <c r="Q1415">
        <v>428</v>
      </c>
      <c r="R1415" t="s">
        <v>7331</v>
      </c>
      <c r="S1415">
        <v>0</v>
      </c>
    </row>
    <row r="1416" spans="1:19">
      <c r="A1416" t="s">
        <v>7334</v>
      </c>
      <c r="B1416">
        <v>103</v>
      </c>
      <c r="C1416" t="s">
        <v>7328</v>
      </c>
      <c r="D1416" t="s">
        <v>7807</v>
      </c>
      <c r="E1416" t="s">
        <v>7814</v>
      </c>
      <c r="F1416" t="s">
        <v>7300</v>
      </c>
      <c r="G1416">
        <v>-2</v>
      </c>
      <c r="H1416">
        <v>-2</v>
      </c>
      <c r="L1416" t="s">
        <v>7330</v>
      </c>
      <c r="M1416" t="s">
        <v>7330</v>
      </c>
      <c r="N1416">
        <v>166</v>
      </c>
      <c r="O1416">
        <v>338</v>
      </c>
      <c r="P1416">
        <v>119</v>
      </c>
      <c r="Q1416">
        <v>385</v>
      </c>
      <c r="R1416" t="s">
        <v>7331</v>
      </c>
      <c r="S1416">
        <v>0</v>
      </c>
    </row>
    <row r="1417" spans="1:19">
      <c r="A1417" t="s">
        <v>7334</v>
      </c>
      <c r="B1417">
        <v>103</v>
      </c>
      <c r="C1417" t="s">
        <v>7328</v>
      </c>
      <c r="D1417" t="s">
        <v>7807</v>
      </c>
      <c r="E1417" t="s">
        <v>7815</v>
      </c>
      <c r="F1417" t="s">
        <v>7300</v>
      </c>
      <c r="G1417">
        <v>-2.25</v>
      </c>
      <c r="H1417">
        <v>-2.25</v>
      </c>
      <c r="L1417" t="s">
        <v>7330</v>
      </c>
      <c r="M1417" t="s">
        <v>7330</v>
      </c>
      <c r="N1417">
        <v>102</v>
      </c>
      <c r="O1417">
        <v>334</v>
      </c>
      <c r="P1417">
        <v>61</v>
      </c>
      <c r="Q1417">
        <v>375</v>
      </c>
      <c r="R1417" t="s">
        <v>7331</v>
      </c>
      <c r="S1417">
        <v>0</v>
      </c>
    </row>
    <row r="1418" spans="1:19">
      <c r="A1418" t="s">
        <v>7334</v>
      </c>
      <c r="B1418">
        <v>103</v>
      </c>
      <c r="C1418" t="s">
        <v>7328</v>
      </c>
      <c r="D1418" t="s">
        <v>7807</v>
      </c>
      <c r="E1418" t="s">
        <v>7816</v>
      </c>
      <c r="F1418" t="s">
        <v>7300</v>
      </c>
      <c r="G1418">
        <v>-2.5</v>
      </c>
      <c r="H1418">
        <v>-2.5</v>
      </c>
      <c r="L1418" t="s">
        <v>7330</v>
      </c>
      <c r="M1418" t="s">
        <v>7330</v>
      </c>
      <c r="N1418">
        <v>161</v>
      </c>
      <c r="O1418">
        <v>334</v>
      </c>
      <c r="P1418">
        <v>116</v>
      </c>
      <c r="Q1418">
        <v>379</v>
      </c>
      <c r="R1418" t="s">
        <v>7331</v>
      </c>
      <c r="S1418">
        <v>0</v>
      </c>
    </row>
    <row r="1419" spans="1:19">
      <c r="A1419" t="s">
        <v>7334</v>
      </c>
      <c r="B1419">
        <v>103</v>
      </c>
      <c r="C1419" t="s">
        <v>7328</v>
      </c>
      <c r="D1419" t="s">
        <v>7807</v>
      </c>
      <c r="E1419" t="s">
        <v>7817</v>
      </c>
      <c r="F1419" t="s">
        <v>7300</v>
      </c>
      <c r="G1419">
        <v>-2.75</v>
      </c>
      <c r="H1419">
        <v>-2.75</v>
      </c>
      <c r="L1419" t="s">
        <v>7330</v>
      </c>
      <c r="M1419" t="s">
        <v>7330</v>
      </c>
      <c r="N1419" s="501">
        <v>832</v>
      </c>
      <c r="P1419">
        <v>97</v>
      </c>
      <c r="Q1419" s="501">
        <v>735</v>
      </c>
      <c r="R1419" t="s">
        <v>7331</v>
      </c>
      <c r="S1419">
        <v>0</v>
      </c>
    </row>
    <row r="1420" spans="1:19">
      <c r="A1420" t="s">
        <v>7334</v>
      </c>
      <c r="B1420">
        <v>103</v>
      </c>
      <c r="C1420" t="s">
        <v>7328</v>
      </c>
      <c r="D1420" t="s">
        <v>7807</v>
      </c>
      <c r="E1420" t="s">
        <v>7818</v>
      </c>
      <c r="F1420" t="s">
        <v>7300</v>
      </c>
      <c r="G1420">
        <v>-3</v>
      </c>
      <c r="H1420">
        <v>-3</v>
      </c>
      <c r="L1420" t="s">
        <v>7330</v>
      </c>
      <c r="M1420" t="s">
        <v>7330</v>
      </c>
      <c r="N1420" s="501">
        <v>641</v>
      </c>
      <c r="P1420">
        <v>42</v>
      </c>
      <c r="Q1420" s="501">
        <v>599</v>
      </c>
      <c r="R1420" t="s">
        <v>7331</v>
      </c>
      <c r="S1420">
        <v>0</v>
      </c>
    </row>
    <row r="1421" spans="1:19">
      <c r="A1421" t="s">
        <v>7334</v>
      </c>
      <c r="B1421">
        <v>103</v>
      </c>
      <c r="C1421" t="s">
        <v>7328</v>
      </c>
      <c r="D1421" t="s">
        <v>7807</v>
      </c>
      <c r="E1421" t="s">
        <v>7819</v>
      </c>
      <c r="F1421" t="s">
        <v>7300</v>
      </c>
      <c r="G1421">
        <v>-3.25</v>
      </c>
      <c r="H1421">
        <v>-3.25</v>
      </c>
      <c r="L1421" t="s">
        <v>7330</v>
      </c>
      <c r="M1421" t="s">
        <v>7330</v>
      </c>
      <c r="N1421" s="501">
        <v>143</v>
      </c>
      <c r="O1421">
        <v>362</v>
      </c>
      <c r="P1421">
        <v>100</v>
      </c>
      <c r="Q1421" s="501">
        <v>405</v>
      </c>
      <c r="R1421" t="s">
        <v>7331</v>
      </c>
      <c r="S1421">
        <v>0</v>
      </c>
    </row>
    <row r="1422" spans="1:19">
      <c r="A1422" t="s">
        <v>7334</v>
      </c>
      <c r="B1422">
        <v>103</v>
      </c>
      <c r="C1422" t="s">
        <v>7328</v>
      </c>
      <c r="D1422" t="s">
        <v>7807</v>
      </c>
      <c r="E1422" t="s">
        <v>7820</v>
      </c>
      <c r="F1422" t="s">
        <v>7300</v>
      </c>
      <c r="G1422">
        <v>-3.5</v>
      </c>
      <c r="H1422">
        <v>-3.5</v>
      </c>
      <c r="L1422" t="s">
        <v>7330</v>
      </c>
      <c r="M1422" t="s">
        <v>7330</v>
      </c>
      <c r="N1422" s="501">
        <v>148</v>
      </c>
      <c r="O1422">
        <v>321</v>
      </c>
      <c r="P1422">
        <v>106</v>
      </c>
      <c r="Q1422" s="501">
        <v>363</v>
      </c>
      <c r="R1422" t="s">
        <v>7331</v>
      </c>
      <c r="S1422">
        <v>0</v>
      </c>
    </row>
    <row r="1423" spans="1:19">
      <c r="A1423" t="s">
        <v>7334</v>
      </c>
      <c r="B1423">
        <v>103</v>
      </c>
      <c r="C1423" t="s">
        <v>7328</v>
      </c>
      <c r="D1423" t="s">
        <v>7807</v>
      </c>
      <c r="E1423" t="s">
        <v>7821</v>
      </c>
      <c r="F1423" t="s">
        <v>7300</v>
      </c>
      <c r="G1423">
        <v>-3.75</v>
      </c>
      <c r="H1423">
        <v>-3.75</v>
      </c>
      <c r="L1423" t="s">
        <v>7330</v>
      </c>
      <c r="M1423" t="s">
        <v>7330</v>
      </c>
      <c r="N1423" s="501">
        <v>165</v>
      </c>
      <c r="O1423">
        <v>375</v>
      </c>
      <c r="P1423">
        <v>120</v>
      </c>
      <c r="Q1423">
        <v>420</v>
      </c>
      <c r="R1423" t="s">
        <v>7331</v>
      </c>
      <c r="S1423">
        <v>0</v>
      </c>
    </row>
    <row r="1424" spans="1:19">
      <c r="A1424" t="s">
        <v>7334</v>
      </c>
      <c r="B1424">
        <v>103</v>
      </c>
      <c r="C1424" t="s">
        <v>7328</v>
      </c>
      <c r="D1424" t="s">
        <v>7807</v>
      </c>
      <c r="E1424" t="s">
        <v>7822</v>
      </c>
      <c r="F1424" t="s">
        <v>7300</v>
      </c>
      <c r="G1424">
        <v>-4</v>
      </c>
      <c r="H1424">
        <v>-4</v>
      </c>
      <c r="L1424" t="s">
        <v>7330</v>
      </c>
      <c r="M1424" t="s">
        <v>7330</v>
      </c>
      <c r="N1424" s="501">
        <v>161</v>
      </c>
      <c r="O1424">
        <v>342</v>
      </c>
      <c r="P1424">
        <v>117</v>
      </c>
      <c r="Q1424" s="501">
        <v>386</v>
      </c>
      <c r="R1424" t="s">
        <v>7331</v>
      </c>
      <c r="S1424">
        <v>0</v>
      </c>
    </row>
    <row r="1425" spans="1:19">
      <c r="A1425" t="s">
        <v>7334</v>
      </c>
      <c r="B1425">
        <v>103</v>
      </c>
      <c r="C1425" t="s">
        <v>7328</v>
      </c>
      <c r="D1425" t="s">
        <v>7807</v>
      </c>
      <c r="E1425" t="s">
        <v>7823</v>
      </c>
      <c r="F1425" t="s">
        <v>7300</v>
      </c>
      <c r="G1425">
        <v>-4.25</v>
      </c>
      <c r="H1425">
        <v>-4.25</v>
      </c>
      <c r="L1425" t="s">
        <v>7330</v>
      </c>
      <c r="M1425" t="s">
        <v>7330</v>
      </c>
      <c r="N1425" s="501">
        <v>88</v>
      </c>
      <c r="P1425">
        <v>42</v>
      </c>
      <c r="Q1425">
        <v>46</v>
      </c>
      <c r="R1425" t="s">
        <v>7331</v>
      </c>
      <c r="S1425">
        <v>0</v>
      </c>
    </row>
    <row r="1426" spans="1:19">
      <c r="A1426" t="s">
        <v>7334</v>
      </c>
      <c r="B1426">
        <v>103</v>
      </c>
      <c r="C1426" t="s">
        <v>7328</v>
      </c>
      <c r="D1426" t="s">
        <v>7807</v>
      </c>
      <c r="E1426" t="s">
        <v>7824</v>
      </c>
      <c r="F1426" t="s">
        <v>7300</v>
      </c>
      <c r="G1426">
        <v>-4.5</v>
      </c>
      <c r="H1426">
        <v>-4.5</v>
      </c>
      <c r="L1426" t="s">
        <v>7330</v>
      </c>
      <c r="M1426" t="s">
        <v>7330</v>
      </c>
      <c r="N1426" s="501">
        <v>965</v>
      </c>
      <c r="P1426">
        <v>156</v>
      </c>
      <c r="Q1426" s="501">
        <v>809</v>
      </c>
      <c r="R1426" t="s">
        <v>7331</v>
      </c>
      <c r="S1426">
        <v>0</v>
      </c>
    </row>
    <row r="1427" spans="1:19">
      <c r="A1427" t="s">
        <v>7334</v>
      </c>
      <c r="B1427">
        <v>103</v>
      </c>
      <c r="C1427" t="s">
        <v>7328</v>
      </c>
      <c r="D1427" t="s">
        <v>7807</v>
      </c>
      <c r="E1427" t="s">
        <v>7825</v>
      </c>
      <c r="F1427" t="s">
        <v>7300</v>
      </c>
      <c r="G1427">
        <v>-4.75</v>
      </c>
      <c r="H1427">
        <v>-4.75</v>
      </c>
      <c r="L1427" t="s">
        <v>7330</v>
      </c>
      <c r="M1427" t="s">
        <v>7330</v>
      </c>
      <c r="N1427" s="501">
        <v>193</v>
      </c>
      <c r="O1427">
        <v>365</v>
      </c>
      <c r="P1427">
        <v>160</v>
      </c>
      <c r="Q1427">
        <v>398</v>
      </c>
      <c r="R1427" t="s">
        <v>7331</v>
      </c>
      <c r="S1427">
        <v>0</v>
      </c>
    </row>
    <row r="1428" spans="1:19">
      <c r="A1428" t="s">
        <v>7334</v>
      </c>
      <c r="B1428">
        <v>103</v>
      </c>
      <c r="C1428" t="s">
        <v>7328</v>
      </c>
      <c r="D1428" t="s">
        <v>7807</v>
      </c>
      <c r="E1428" t="s">
        <v>7826</v>
      </c>
      <c r="F1428" t="s">
        <v>7300</v>
      </c>
      <c r="G1428">
        <v>-5</v>
      </c>
      <c r="H1428">
        <v>-5</v>
      </c>
      <c r="L1428" t="s">
        <v>7330</v>
      </c>
      <c r="M1428" t="s">
        <v>7330</v>
      </c>
      <c r="N1428">
        <v>161</v>
      </c>
      <c r="O1428">
        <v>443</v>
      </c>
      <c r="P1428">
        <v>116</v>
      </c>
      <c r="Q1428">
        <v>488</v>
      </c>
      <c r="R1428" t="s">
        <v>7331</v>
      </c>
      <c r="S1428">
        <v>0</v>
      </c>
    </row>
    <row r="1429" spans="1:19">
      <c r="A1429" t="s">
        <v>7334</v>
      </c>
      <c r="B1429">
        <v>103</v>
      </c>
      <c r="C1429" t="s">
        <v>7328</v>
      </c>
      <c r="D1429" t="s">
        <v>7807</v>
      </c>
      <c r="E1429" t="s">
        <v>7827</v>
      </c>
      <c r="F1429" t="s">
        <v>7300</v>
      </c>
      <c r="G1429">
        <v>-5.5</v>
      </c>
      <c r="H1429">
        <v>-5.5</v>
      </c>
      <c r="L1429" t="s">
        <v>7330</v>
      </c>
      <c r="M1429" t="s">
        <v>7330</v>
      </c>
      <c r="N1429">
        <v>255</v>
      </c>
      <c r="P1429">
        <v>182</v>
      </c>
      <c r="Q1429">
        <v>73</v>
      </c>
      <c r="R1429" t="s">
        <v>7331</v>
      </c>
      <c r="S1429">
        <v>0</v>
      </c>
    </row>
    <row r="1430" spans="1:19">
      <c r="A1430" t="s">
        <v>7334</v>
      </c>
      <c r="B1430">
        <v>103</v>
      </c>
      <c r="C1430" t="s">
        <v>7328</v>
      </c>
      <c r="D1430" t="s">
        <v>7807</v>
      </c>
      <c r="E1430" t="s">
        <v>7828</v>
      </c>
      <c r="F1430" t="s">
        <v>7300</v>
      </c>
      <c r="G1430">
        <v>-6</v>
      </c>
      <c r="H1430">
        <v>-6</v>
      </c>
      <c r="L1430" t="s">
        <v>7330</v>
      </c>
      <c r="M1430" t="s">
        <v>7330</v>
      </c>
      <c r="N1430">
        <v>183</v>
      </c>
      <c r="O1430">
        <v>391</v>
      </c>
      <c r="P1430">
        <v>135</v>
      </c>
      <c r="Q1430">
        <v>439</v>
      </c>
      <c r="R1430" t="s">
        <v>7331</v>
      </c>
      <c r="S1430">
        <v>0</v>
      </c>
    </row>
    <row r="1431" spans="1:19">
      <c r="A1431" t="s">
        <v>7334</v>
      </c>
      <c r="B1431">
        <v>103</v>
      </c>
      <c r="C1431" t="s">
        <v>7328</v>
      </c>
      <c r="D1431" t="s">
        <v>7807</v>
      </c>
      <c r="E1431" t="s">
        <v>8988</v>
      </c>
      <c r="F1431" t="s">
        <v>7300</v>
      </c>
      <c r="G1431">
        <v>-6.5</v>
      </c>
      <c r="H1431">
        <v>-6.5</v>
      </c>
      <c r="L1431" t="s">
        <v>7330</v>
      </c>
      <c r="M1431" t="s">
        <v>7330</v>
      </c>
      <c r="N1431">
        <v>589</v>
      </c>
      <c r="P1431">
        <v>8</v>
      </c>
      <c r="Q1431">
        <v>581</v>
      </c>
      <c r="R1431" t="s">
        <v>7331</v>
      </c>
      <c r="S1431">
        <v>0</v>
      </c>
    </row>
    <row r="1432" spans="1:19">
      <c r="A1432" t="s">
        <v>7334</v>
      </c>
      <c r="B1432">
        <v>103</v>
      </c>
      <c r="C1432" t="s">
        <v>7328</v>
      </c>
      <c r="D1432" t="s">
        <v>7807</v>
      </c>
      <c r="E1432" t="s">
        <v>12037</v>
      </c>
      <c r="F1432" t="s">
        <v>7300</v>
      </c>
      <c r="G1432">
        <v>-7</v>
      </c>
      <c r="H1432">
        <v>-7</v>
      </c>
      <c r="L1432" t="s">
        <v>7330</v>
      </c>
      <c r="M1432" t="s">
        <v>7330</v>
      </c>
      <c r="P1432">
        <v>0</v>
      </c>
      <c r="R1432" t="s">
        <v>7331</v>
      </c>
      <c r="S1432">
        <v>0</v>
      </c>
    </row>
    <row r="1433" spans="1:19">
      <c r="A1433" t="s">
        <v>7334</v>
      </c>
      <c r="B1433">
        <v>103</v>
      </c>
      <c r="C1433" t="s">
        <v>7328</v>
      </c>
      <c r="D1433" t="s">
        <v>7807</v>
      </c>
      <c r="E1433" t="s">
        <v>7829</v>
      </c>
      <c r="F1433" t="s">
        <v>7300</v>
      </c>
      <c r="G1433">
        <v>-7.5</v>
      </c>
      <c r="H1433">
        <v>-7.5</v>
      </c>
      <c r="L1433" t="s">
        <v>7330</v>
      </c>
      <c r="M1433" t="s">
        <v>7330</v>
      </c>
      <c r="N1433">
        <v>940</v>
      </c>
      <c r="P1433">
        <v>85</v>
      </c>
      <c r="Q1433">
        <v>855</v>
      </c>
      <c r="R1433" t="s">
        <v>7331</v>
      </c>
      <c r="S1433">
        <v>0</v>
      </c>
    </row>
    <row r="1434" spans="1:19">
      <c r="A1434" t="s">
        <v>7334</v>
      </c>
      <c r="B1434">
        <v>103</v>
      </c>
      <c r="C1434" t="s">
        <v>7328</v>
      </c>
      <c r="D1434" t="s">
        <v>7807</v>
      </c>
      <c r="E1434" t="s">
        <v>7830</v>
      </c>
      <c r="F1434" t="s">
        <v>7300</v>
      </c>
      <c r="G1434">
        <v>-8</v>
      </c>
      <c r="H1434">
        <v>-8</v>
      </c>
      <c r="L1434" t="s">
        <v>7330</v>
      </c>
      <c r="M1434" t="s">
        <v>7330</v>
      </c>
      <c r="N1434">
        <v>119</v>
      </c>
      <c r="P1434">
        <v>26</v>
      </c>
      <c r="Q1434">
        <v>93</v>
      </c>
      <c r="R1434" t="s">
        <v>7331</v>
      </c>
      <c r="S1434">
        <v>0</v>
      </c>
    </row>
    <row r="1435" spans="1:19">
      <c r="A1435" t="s">
        <v>7334</v>
      </c>
      <c r="B1435">
        <v>103</v>
      </c>
      <c r="C1435" t="s">
        <v>7328</v>
      </c>
      <c r="D1435" t="s">
        <v>7831</v>
      </c>
      <c r="E1435" t="s">
        <v>7851</v>
      </c>
      <c r="F1435" t="s">
        <v>7304</v>
      </c>
      <c r="G1435">
        <v>0</v>
      </c>
      <c r="H1435">
        <v>0</v>
      </c>
      <c r="L1435" t="s">
        <v>7330</v>
      </c>
      <c r="M1435" t="s">
        <v>7330</v>
      </c>
      <c r="N1435">
        <v>771</v>
      </c>
      <c r="P1435">
        <v>7</v>
      </c>
      <c r="Q1435">
        <v>764</v>
      </c>
      <c r="R1435" t="s">
        <v>7331</v>
      </c>
      <c r="S1435">
        <v>0</v>
      </c>
    </row>
    <row r="1436" spans="1:19">
      <c r="A1436" t="s">
        <v>7334</v>
      </c>
      <c r="B1436">
        <v>103</v>
      </c>
      <c r="C1436" t="s">
        <v>7328</v>
      </c>
      <c r="D1436" t="s">
        <v>7831</v>
      </c>
      <c r="E1436" t="s">
        <v>7852</v>
      </c>
      <c r="F1436" t="s">
        <v>7304</v>
      </c>
      <c r="G1436">
        <v>-0.5</v>
      </c>
      <c r="H1436">
        <v>-0.5</v>
      </c>
      <c r="L1436" t="s">
        <v>7330</v>
      </c>
      <c r="M1436" t="s">
        <v>7330</v>
      </c>
      <c r="N1436">
        <v>537</v>
      </c>
      <c r="P1436">
        <v>17</v>
      </c>
      <c r="Q1436">
        <v>520</v>
      </c>
      <c r="R1436" t="s">
        <v>7331</v>
      </c>
      <c r="S1436">
        <v>0</v>
      </c>
    </row>
    <row r="1437" spans="1:19">
      <c r="A1437" t="s">
        <v>7334</v>
      </c>
      <c r="B1437">
        <v>103</v>
      </c>
      <c r="C1437" t="s">
        <v>7328</v>
      </c>
      <c r="D1437" t="s">
        <v>7831</v>
      </c>
      <c r="E1437" t="s">
        <v>7832</v>
      </c>
      <c r="F1437" t="s">
        <v>7304</v>
      </c>
      <c r="G1437">
        <v>-0.75</v>
      </c>
      <c r="H1437">
        <v>-0.75</v>
      </c>
      <c r="L1437" t="s">
        <v>7330</v>
      </c>
      <c r="M1437" t="s">
        <v>7330</v>
      </c>
      <c r="N1437">
        <v>397</v>
      </c>
      <c r="P1437">
        <v>41</v>
      </c>
      <c r="Q1437">
        <v>356</v>
      </c>
      <c r="R1437" t="s">
        <v>7331</v>
      </c>
      <c r="S1437">
        <v>0</v>
      </c>
    </row>
    <row r="1438" spans="1:19">
      <c r="A1438" t="s">
        <v>7334</v>
      </c>
      <c r="B1438">
        <v>103</v>
      </c>
      <c r="C1438" t="s">
        <v>7328</v>
      </c>
      <c r="D1438" t="s">
        <v>7831</v>
      </c>
      <c r="E1438" t="s">
        <v>7833</v>
      </c>
      <c r="F1438" t="s">
        <v>7304</v>
      </c>
      <c r="G1438">
        <v>-1</v>
      </c>
      <c r="H1438">
        <v>-1</v>
      </c>
      <c r="L1438" t="s">
        <v>7330</v>
      </c>
      <c r="M1438" t="s">
        <v>7330</v>
      </c>
      <c r="N1438">
        <v>496</v>
      </c>
      <c r="P1438">
        <v>126</v>
      </c>
      <c r="Q1438">
        <v>370</v>
      </c>
      <c r="R1438" t="s">
        <v>7331</v>
      </c>
      <c r="S1438">
        <v>0</v>
      </c>
    </row>
    <row r="1439" spans="1:19">
      <c r="A1439" t="s">
        <v>7334</v>
      </c>
      <c r="B1439">
        <v>103</v>
      </c>
      <c r="C1439" t="s">
        <v>7328</v>
      </c>
      <c r="D1439" t="s">
        <v>7831</v>
      </c>
      <c r="E1439" t="s">
        <v>7834</v>
      </c>
      <c r="F1439" t="s">
        <v>7304</v>
      </c>
      <c r="G1439">
        <v>-1.25</v>
      </c>
      <c r="H1439">
        <v>-1.25</v>
      </c>
      <c r="L1439" t="s">
        <v>7330</v>
      </c>
      <c r="M1439" t="s">
        <v>7330</v>
      </c>
      <c r="N1439">
        <v>897</v>
      </c>
      <c r="P1439">
        <v>123</v>
      </c>
      <c r="Q1439">
        <v>774</v>
      </c>
      <c r="R1439" t="s">
        <v>7331</v>
      </c>
      <c r="S1439">
        <v>0</v>
      </c>
    </row>
    <row r="1440" spans="1:19">
      <c r="A1440" t="s">
        <v>7334</v>
      </c>
      <c r="B1440">
        <v>103</v>
      </c>
      <c r="C1440" t="s">
        <v>7328</v>
      </c>
      <c r="D1440" t="s">
        <v>7831</v>
      </c>
      <c r="E1440" t="s">
        <v>7853</v>
      </c>
      <c r="F1440" t="s">
        <v>7304</v>
      </c>
      <c r="G1440">
        <v>-1.5</v>
      </c>
      <c r="H1440">
        <v>-1.5</v>
      </c>
      <c r="L1440" t="s">
        <v>7330</v>
      </c>
      <c r="M1440" t="s">
        <v>7330</v>
      </c>
      <c r="N1440">
        <v>6</v>
      </c>
      <c r="O1440">
        <v>369</v>
      </c>
      <c r="P1440">
        <v>6</v>
      </c>
      <c r="Q1440">
        <v>369</v>
      </c>
      <c r="R1440" t="s">
        <v>7331</v>
      </c>
      <c r="S1440">
        <v>0</v>
      </c>
    </row>
    <row r="1441" spans="1:19">
      <c r="A1441" t="s">
        <v>7334</v>
      </c>
      <c r="B1441">
        <v>103</v>
      </c>
      <c r="C1441" t="s">
        <v>7328</v>
      </c>
      <c r="D1441" t="s">
        <v>7831</v>
      </c>
      <c r="E1441" t="s">
        <v>7854</v>
      </c>
      <c r="F1441" t="s">
        <v>7304</v>
      </c>
      <c r="G1441">
        <v>-1.75</v>
      </c>
      <c r="H1441">
        <v>-1.75</v>
      </c>
      <c r="L1441" t="s">
        <v>7330</v>
      </c>
      <c r="M1441" t="s">
        <v>7330</v>
      </c>
      <c r="N1441">
        <v>22</v>
      </c>
      <c r="O1441">
        <v>618</v>
      </c>
      <c r="P1441">
        <v>7</v>
      </c>
      <c r="Q1441">
        <v>633</v>
      </c>
      <c r="R1441" t="s">
        <v>7331</v>
      </c>
      <c r="S1441">
        <v>0</v>
      </c>
    </row>
    <row r="1442" spans="1:19">
      <c r="A1442" t="s">
        <v>7334</v>
      </c>
      <c r="B1442">
        <v>103</v>
      </c>
      <c r="C1442" t="s">
        <v>7328</v>
      </c>
      <c r="D1442" t="s">
        <v>7831</v>
      </c>
      <c r="E1442" t="s">
        <v>7855</v>
      </c>
      <c r="F1442" t="s">
        <v>7304</v>
      </c>
      <c r="G1442">
        <v>-2</v>
      </c>
      <c r="H1442">
        <v>-2</v>
      </c>
      <c r="L1442" t="s">
        <v>7330</v>
      </c>
      <c r="M1442" t="s">
        <v>7330</v>
      </c>
      <c r="N1442" s="501">
        <v>1284</v>
      </c>
      <c r="P1442">
        <v>137</v>
      </c>
      <c r="Q1442" s="501">
        <v>1147</v>
      </c>
      <c r="R1442" t="s">
        <v>7331</v>
      </c>
      <c r="S1442">
        <v>0</v>
      </c>
    </row>
    <row r="1443" spans="1:19">
      <c r="A1443" t="s">
        <v>7334</v>
      </c>
      <c r="B1443">
        <v>103</v>
      </c>
      <c r="C1443" t="s">
        <v>7328</v>
      </c>
      <c r="D1443" t="s">
        <v>7831</v>
      </c>
      <c r="E1443" t="s">
        <v>7856</v>
      </c>
      <c r="F1443" t="s">
        <v>7304</v>
      </c>
      <c r="G1443">
        <v>-2.25</v>
      </c>
      <c r="H1443">
        <v>-2.25</v>
      </c>
      <c r="L1443" t="s">
        <v>7330</v>
      </c>
      <c r="M1443" t="s">
        <v>7330</v>
      </c>
      <c r="N1443">
        <v>213</v>
      </c>
      <c r="O1443">
        <v>332</v>
      </c>
      <c r="P1443">
        <v>147</v>
      </c>
      <c r="Q1443">
        <v>398</v>
      </c>
      <c r="R1443" t="s">
        <v>7331</v>
      </c>
      <c r="S1443">
        <v>0</v>
      </c>
    </row>
    <row r="1444" spans="1:19">
      <c r="A1444" t="s">
        <v>7334</v>
      </c>
      <c r="B1444">
        <v>103</v>
      </c>
      <c r="C1444" t="s">
        <v>7328</v>
      </c>
      <c r="D1444" t="s">
        <v>7831</v>
      </c>
      <c r="E1444" t="s">
        <v>7835</v>
      </c>
      <c r="F1444" t="s">
        <v>7304</v>
      </c>
      <c r="G1444">
        <v>-2.5</v>
      </c>
      <c r="H1444">
        <v>-2.5</v>
      </c>
      <c r="L1444" t="s">
        <v>7330</v>
      </c>
      <c r="M1444" t="s">
        <v>7330</v>
      </c>
      <c r="N1444" s="501">
        <v>1522</v>
      </c>
      <c r="P1444">
        <v>124</v>
      </c>
      <c r="Q1444" s="501">
        <v>1398</v>
      </c>
      <c r="R1444" t="s">
        <v>7331</v>
      </c>
      <c r="S1444">
        <v>0</v>
      </c>
    </row>
    <row r="1445" spans="1:19">
      <c r="A1445" t="s">
        <v>7334</v>
      </c>
      <c r="B1445">
        <v>103</v>
      </c>
      <c r="C1445" t="s">
        <v>7328</v>
      </c>
      <c r="D1445" t="s">
        <v>7831</v>
      </c>
      <c r="E1445" t="s">
        <v>7857</v>
      </c>
      <c r="F1445" t="s">
        <v>7304</v>
      </c>
      <c r="G1445">
        <v>-2.75</v>
      </c>
      <c r="H1445">
        <v>-2.75</v>
      </c>
      <c r="L1445" t="s">
        <v>7330</v>
      </c>
      <c r="M1445" t="s">
        <v>7330</v>
      </c>
      <c r="N1445" s="501">
        <v>1085</v>
      </c>
      <c r="P1445">
        <v>122</v>
      </c>
      <c r="Q1445">
        <v>963</v>
      </c>
      <c r="R1445" t="s">
        <v>7331</v>
      </c>
      <c r="S1445">
        <v>0</v>
      </c>
    </row>
    <row r="1446" spans="1:19">
      <c r="A1446" t="s">
        <v>7334</v>
      </c>
      <c r="B1446">
        <v>103</v>
      </c>
      <c r="C1446" t="s">
        <v>7328</v>
      </c>
      <c r="D1446" t="s">
        <v>7831</v>
      </c>
      <c r="E1446" t="s">
        <v>7858</v>
      </c>
      <c r="F1446" t="s">
        <v>7304</v>
      </c>
      <c r="G1446">
        <v>-3</v>
      </c>
      <c r="H1446">
        <v>-3</v>
      </c>
      <c r="L1446" t="s">
        <v>7330</v>
      </c>
      <c r="M1446" t="s">
        <v>7330</v>
      </c>
      <c r="N1446">
        <v>989</v>
      </c>
      <c r="P1446">
        <v>8</v>
      </c>
      <c r="Q1446">
        <v>981</v>
      </c>
      <c r="R1446" t="s">
        <v>7331</v>
      </c>
      <c r="S1446">
        <v>0</v>
      </c>
    </row>
    <row r="1447" spans="1:19">
      <c r="A1447" t="s">
        <v>7334</v>
      </c>
      <c r="B1447">
        <v>103</v>
      </c>
      <c r="C1447" t="s">
        <v>7328</v>
      </c>
      <c r="D1447" t="s">
        <v>7831</v>
      </c>
      <c r="E1447" t="s">
        <v>7859</v>
      </c>
      <c r="F1447" t="s">
        <v>7304</v>
      </c>
      <c r="G1447">
        <v>-3.25</v>
      </c>
      <c r="H1447">
        <v>-3.25</v>
      </c>
      <c r="L1447" t="s">
        <v>7330</v>
      </c>
      <c r="M1447" t="s">
        <v>7330</v>
      </c>
      <c r="N1447">
        <v>73</v>
      </c>
      <c r="O1447">
        <v>328</v>
      </c>
      <c r="P1447">
        <v>41</v>
      </c>
      <c r="Q1447">
        <v>360</v>
      </c>
      <c r="R1447" t="s">
        <v>7331</v>
      </c>
      <c r="S1447">
        <v>0</v>
      </c>
    </row>
    <row r="1448" spans="1:19">
      <c r="A1448" t="s">
        <v>7334</v>
      </c>
      <c r="B1448">
        <v>103</v>
      </c>
      <c r="C1448" t="s">
        <v>7328</v>
      </c>
      <c r="D1448" t="s">
        <v>7831</v>
      </c>
      <c r="E1448" t="s">
        <v>7860</v>
      </c>
      <c r="F1448" t="s">
        <v>7304</v>
      </c>
      <c r="G1448">
        <v>-3.5</v>
      </c>
      <c r="H1448">
        <v>-3.5</v>
      </c>
      <c r="L1448" t="s">
        <v>7330</v>
      </c>
      <c r="M1448" t="s">
        <v>7330</v>
      </c>
      <c r="N1448">
        <v>175</v>
      </c>
      <c r="O1448">
        <v>333</v>
      </c>
      <c r="P1448">
        <v>129</v>
      </c>
      <c r="Q1448">
        <v>379</v>
      </c>
      <c r="R1448" t="s">
        <v>7331</v>
      </c>
      <c r="S1448">
        <v>0</v>
      </c>
    </row>
    <row r="1449" spans="1:19">
      <c r="A1449" t="s">
        <v>7334</v>
      </c>
      <c r="B1449">
        <v>103</v>
      </c>
      <c r="C1449" t="s">
        <v>7328</v>
      </c>
      <c r="D1449" t="s">
        <v>7831</v>
      </c>
      <c r="E1449" t="s">
        <v>7861</v>
      </c>
      <c r="F1449" t="s">
        <v>7304</v>
      </c>
      <c r="G1449">
        <v>-3.75</v>
      </c>
      <c r="H1449">
        <v>-3.75</v>
      </c>
      <c r="L1449" t="s">
        <v>7330</v>
      </c>
      <c r="M1449" t="s">
        <v>7330</v>
      </c>
      <c r="N1449">
        <v>224</v>
      </c>
      <c r="O1449">
        <v>314</v>
      </c>
      <c r="P1449">
        <v>176</v>
      </c>
      <c r="Q1449">
        <v>362</v>
      </c>
      <c r="R1449" t="s">
        <v>7331</v>
      </c>
      <c r="S1449">
        <v>0</v>
      </c>
    </row>
    <row r="1450" spans="1:19">
      <c r="A1450" t="s">
        <v>7334</v>
      </c>
      <c r="B1450">
        <v>103</v>
      </c>
      <c r="C1450" t="s">
        <v>7328</v>
      </c>
      <c r="D1450" t="s">
        <v>7831</v>
      </c>
      <c r="E1450" t="s">
        <v>7862</v>
      </c>
      <c r="F1450" t="s">
        <v>7304</v>
      </c>
      <c r="G1450">
        <v>-4</v>
      </c>
      <c r="H1450">
        <v>-4</v>
      </c>
      <c r="L1450" t="s">
        <v>7330</v>
      </c>
      <c r="M1450" t="s">
        <v>7330</v>
      </c>
      <c r="N1450">
        <v>461</v>
      </c>
      <c r="P1450">
        <v>129</v>
      </c>
      <c r="Q1450">
        <v>332</v>
      </c>
      <c r="R1450" t="s">
        <v>7331</v>
      </c>
      <c r="S1450">
        <v>0</v>
      </c>
    </row>
    <row r="1451" spans="1:19">
      <c r="A1451" t="s">
        <v>7334</v>
      </c>
      <c r="B1451">
        <v>103</v>
      </c>
      <c r="C1451" t="s">
        <v>7328</v>
      </c>
      <c r="D1451" t="s">
        <v>7831</v>
      </c>
      <c r="E1451" t="s">
        <v>7863</v>
      </c>
      <c r="F1451" t="s">
        <v>7304</v>
      </c>
      <c r="G1451">
        <v>-4.25</v>
      </c>
      <c r="H1451">
        <v>-4.25</v>
      </c>
      <c r="L1451" t="s">
        <v>7330</v>
      </c>
      <c r="M1451" t="s">
        <v>7330</v>
      </c>
      <c r="N1451">
        <v>191</v>
      </c>
      <c r="O1451">
        <v>314</v>
      </c>
      <c r="P1451">
        <v>125</v>
      </c>
      <c r="Q1451">
        <v>380</v>
      </c>
      <c r="R1451" t="s">
        <v>7331</v>
      </c>
      <c r="S1451">
        <v>0</v>
      </c>
    </row>
    <row r="1452" spans="1:19">
      <c r="A1452" t="s">
        <v>7334</v>
      </c>
      <c r="B1452">
        <v>103</v>
      </c>
      <c r="C1452" t="s">
        <v>7328</v>
      </c>
      <c r="D1452" t="s">
        <v>7831</v>
      </c>
      <c r="E1452" t="s">
        <v>7864</v>
      </c>
      <c r="F1452" t="s">
        <v>7304</v>
      </c>
      <c r="G1452">
        <v>-4.5</v>
      </c>
      <c r="H1452">
        <v>-4.5</v>
      </c>
      <c r="L1452" t="s">
        <v>7330</v>
      </c>
      <c r="M1452" t="s">
        <v>7330</v>
      </c>
      <c r="N1452">
        <v>196</v>
      </c>
      <c r="O1452">
        <v>352</v>
      </c>
      <c r="P1452">
        <v>158</v>
      </c>
      <c r="Q1452">
        <v>390</v>
      </c>
      <c r="R1452" t="s">
        <v>7331</v>
      </c>
      <c r="S1452">
        <v>0</v>
      </c>
    </row>
    <row r="1453" spans="1:19">
      <c r="A1453" t="s">
        <v>7334</v>
      </c>
      <c r="B1453">
        <v>103</v>
      </c>
      <c r="C1453" t="s">
        <v>7328</v>
      </c>
      <c r="D1453" t="s">
        <v>7831</v>
      </c>
      <c r="E1453" t="s">
        <v>7865</v>
      </c>
      <c r="F1453" t="s">
        <v>7304</v>
      </c>
      <c r="G1453">
        <v>-4.75</v>
      </c>
      <c r="H1453">
        <v>-4.75</v>
      </c>
      <c r="L1453" t="s">
        <v>7330</v>
      </c>
      <c r="M1453" t="s">
        <v>7330</v>
      </c>
      <c r="N1453">
        <v>211</v>
      </c>
      <c r="O1453">
        <v>327</v>
      </c>
      <c r="P1453">
        <v>135</v>
      </c>
      <c r="Q1453">
        <v>403</v>
      </c>
      <c r="R1453" t="s">
        <v>7331</v>
      </c>
      <c r="S1453">
        <v>0</v>
      </c>
    </row>
    <row r="1454" spans="1:19">
      <c r="A1454" t="s">
        <v>7334</v>
      </c>
      <c r="B1454">
        <v>103</v>
      </c>
      <c r="C1454" t="s">
        <v>7328</v>
      </c>
      <c r="D1454" t="s">
        <v>7831</v>
      </c>
      <c r="E1454" t="s">
        <v>7866</v>
      </c>
      <c r="F1454" t="s">
        <v>7304</v>
      </c>
      <c r="G1454">
        <v>-5</v>
      </c>
      <c r="H1454">
        <v>-5</v>
      </c>
      <c r="L1454" t="s">
        <v>7330</v>
      </c>
      <c r="M1454" t="s">
        <v>7330</v>
      </c>
      <c r="N1454">
        <v>181</v>
      </c>
      <c r="O1454">
        <v>316</v>
      </c>
      <c r="P1454">
        <v>132</v>
      </c>
      <c r="Q1454">
        <v>365</v>
      </c>
      <c r="R1454" t="s">
        <v>7331</v>
      </c>
      <c r="S1454">
        <v>0</v>
      </c>
    </row>
    <row r="1455" spans="1:19">
      <c r="A1455" t="s">
        <v>7334</v>
      </c>
      <c r="B1455">
        <v>103</v>
      </c>
      <c r="C1455" t="s">
        <v>7328</v>
      </c>
      <c r="D1455" t="s">
        <v>7831</v>
      </c>
      <c r="E1455" t="s">
        <v>7867</v>
      </c>
      <c r="F1455" t="s">
        <v>7304</v>
      </c>
      <c r="G1455">
        <v>-5.5</v>
      </c>
      <c r="H1455">
        <v>-5.5</v>
      </c>
      <c r="L1455" t="s">
        <v>7330</v>
      </c>
      <c r="M1455" t="s">
        <v>7330</v>
      </c>
      <c r="N1455">
        <v>244</v>
      </c>
      <c r="P1455">
        <v>149</v>
      </c>
      <c r="Q1455">
        <v>95</v>
      </c>
      <c r="R1455" t="s">
        <v>7331</v>
      </c>
      <c r="S1455">
        <v>0</v>
      </c>
    </row>
    <row r="1456" spans="1:19">
      <c r="A1456" t="s">
        <v>7334</v>
      </c>
      <c r="B1456">
        <v>103</v>
      </c>
      <c r="C1456" t="s">
        <v>7328</v>
      </c>
      <c r="D1456" t="s">
        <v>7831</v>
      </c>
      <c r="E1456" t="s">
        <v>7868</v>
      </c>
      <c r="F1456" t="s">
        <v>7304</v>
      </c>
      <c r="G1456">
        <v>-6</v>
      </c>
      <c r="H1456">
        <v>-6</v>
      </c>
      <c r="L1456" t="s">
        <v>7330</v>
      </c>
      <c r="M1456" t="s">
        <v>7330</v>
      </c>
      <c r="N1456">
        <v>171</v>
      </c>
      <c r="O1456">
        <v>575</v>
      </c>
      <c r="P1456">
        <v>121</v>
      </c>
      <c r="Q1456">
        <v>625</v>
      </c>
      <c r="R1456" t="s">
        <v>7331</v>
      </c>
      <c r="S1456">
        <v>0</v>
      </c>
    </row>
    <row r="1457" spans="1:19">
      <c r="A1457" t="s">
        <v>7334</v>
      </c>
      <c r="B1457">
        <v>103</v>
      </c>
      <c r="C1457" t="s">
        <v>7328</v>
      </c>
      <c r="D1457" t="s">
        <v>7831</v>
      </c>
      <c r="E1457" t="s">
        <v>8989</v>
      </c>
      <c r="F1457" t="s">
        <v>7304</v>
      </c>
      <c r="G1457">
        <v>-6.5</v>
      </c>
      <c r="H1457">
        <v>-6.5</v>
      </c>
      <c r="L1457" t="s">
        <v>7330</v>
      </c>
      <c r="M1457" t="s">
        <v>7330</v>
      </c>
      <c r="N1457">
        <v>665</v>
      </c>
      <c r="P1457">
        <v>8</v>
      </c>
      <c r="Q1457">
        <v>657</v>
      </c>
      <c r="R1457" t="s">
        <v>7331</v>
      </c>
      <c r="S1457">
        <v>0</v>
      </c>
    </row>
    <row r="1458" spans="1:19">
      <c r="A1458" t="s">
        <v>7334</v>
      </c>
      <c r="B1458">
        <v>103</v>
      </c>
      <c r="C1458" t="s">
        <v>7328</v>
      </c>
      <c r="D1458" t="s">
        <v>7831</v>
      </c>
      <c r="E1458" t="s">
        <v>12038</v>
      </c>
      <c r="F1458" t="s">
        <v>7304</v>
      </c>
      <c r="G1458">
        <v>-7</v>
      </c>
      <c r="H1458">
        <v>-7</v>
      </c>
      <c r="L1458" t="s">
        <v>7330</v>
      </c>
      <c r="M1458" t="s">
        <v>7330</v>
      </c>
      <c r="O1458">
        <v>316</v>
      </c>
      <c r="P1458">
        <v>4</v>
      </c>
      <c r="Q1458">
        <v>312</v>
      </c>
      <c r="R1458" t="s">
        <v>7331</v>
      </c>
      <c r="S1458">
        <v>0</v>
      </c>
    </row>
    <row r="1459" spans="1:19">
      <c r="A1459" t="s">
        <v>7334</v>
      </c>
      <c r="B1459">
        <v>103</v>
      </c>
      <c r="C1459" t="s">
        <v>7328</v>
      </c>
      <c r="D1459" t="s">
        <v>7831</v>
      </c>
      <c r="E1459" t="s">
        <v>7869</v>
      </c>
      <c r="F1459" t="s">
        <v>7304</v>
      </c>
      <c r="G1459">
        <v>-7.5</v>
      </c>
      <c r="H1459">
        <v>-7.5</v>
      </c>
      <c r="L1459" t="s">
        <v>7330</v>
      </c>
      <c r="M1459" t="s">
        <v>7330</v>
      </c>
      <c r="N1459">
        <v>482</v>
      </c>
      <c r="P1459">
        <v>7</v>
      </c>
      <c r="Q1459">
        <v>475</v>
      </c>
      <c r="R1459" t="s">
        <v>7331</v>
      </c>
      <c r="S1459">
        <v>0</v>
      </c>
    </row>
    <row r="1460" spans="1:19">
      <c r="A1460" t="s">
        <v>7334</v>
      </c>
      <c r="B1460">
        <v>103</v>
      </c>
      <c r="C1460" t="s">
        <v>7328</v>
      </c>
      <c r="D1460" t="s">
        <v>7831</v>
      </c>
      <c r="E1460" t="s">
        <v>7870</v>
      </c>
      <c r="F1460" t="s">
        <v>7304</v>
      </c>
      <c r="G1460">
        <v>-8</v>
      </c>
      <c r="H1460">
        <v>-8</v>
      </c>
      <c r="L1460" t="s">
        <v>7330</v>
      </c>
      <c r="M1460" t="s">
        <v>7330</v>
      </c>
      <c r="N1460">
        <v>135</v>
      </c>
      <c r="P1460">
        <v>25</v>
      </c>
      <c r="Q1460">
        <v>110</v>
      </c>
      <c r="R1460" t="s">
        <v>7331</v>
      </c>
      <c r="S1460">
        <v>0</v>
      </c>
    </row>
    <row r="1461" spans="1:19">
      <c r="A1461" t="s">
        <v>7334</v>
      </c>
      <c r="B1461">
        <v>103</v>
      </c>
      <c r="C1461" t="s">
        <v>7328</v>
      </c>
      <c r="D1461" t="s">
        <v>7871</v>
      </c>
      <c r="E1461" t="s">
        <v>8990</v>
      </c>
      <c r="F1461" t="s">
        <v>7303</v>
      </c>
      <c r="G1461">
        <v>0</v>
      </c>
      <c r="H1461">
        <v>0</v>
      </c>
      <c r="L1461" t="s">
        <v>7330</v>
      </c>
      <c r="M1461" t="s">
        <v>7330</v>
      </c>
      <c r="N1461">
        <v>632</v>
      </c>
      <c r="P1461">
        <v>1</v>
      </c>
      <c r="Q1461">
        <v>631</v>
      </c>
      <c r="R1461" t="s">
        <v>7331</v>
      </c>
      <c r="S1461">
        <v>0</v>
      </c>
    </row>
    <row r="1462" spans="1:19">
      <c r="A1462" t="s">
        <v>7334</v>
      </c>
      <c r="B1462">
        <v>103</v>
      </c>
      <c r="C1462" t="s">
        <v>7328</v>
      </c>
      <c r="D1462" t="s">
        <v>7871</v>
      </c>
      <c r="E1462" t="s">
        <v>7891</v>
      </c>
      <c r="F1462" t="s">
        <v>7303</v>
      </c>
      <c r="G1462">
        <v>-0.5</v>
      </c>
      <c r="H1462">
        <v>-0.5</v>
      </c>
      <c r="L1462" t="s">
        <v>7330</v>
      </c>
      <c r="M1462" t="s">
        <v>7330</v>
      </c>
      <c r="N1462">
        <v>798</v>
      </c>
      <c r="P1462">
        <v>86</v>
      </c>
      <c r="Q1462">
        <v>712</v>
      </c>
      <c r="R1462" t="s">
        <v>7331</v>
      </c>
      <c r="S1462">
        <v>0</v>
      </c>
    </row>
    <row r="1463" spans="1:19">
      <c r="A1463" t="s">
        <v>7334</v>
      </c>
      <c r="B1463">
        <v>103</v>
      </c>
      <c r="C1463" t="s">
        <v>7328</v>
      </c>
      <c r="D1463" t="s">
        <v>7871</v>
      </c>
      <c r="E1463" t="s">
        <v>7872</v>
      </c>
      <c r="F1463" t="s">
        <v>7303</v>
      </c>
      <c r="G1463">
        <v>-0.75</v>
      </c>
      <c r="H1463">
        <v>-0.75</v>
      </c>
      <c r="L1463" t="s">
        <v>7330</v>
      </c>
      <c r="M1463" t="s">
        <v>7330</v>
      </c>
      <c r="N1463">
        <v>921</v>
      </c>
      <c r="P1463">
        <v>85</v>
      </c>
      <c r="Q1463">
        <v>836</v>
      </c>
      <c r="R1463" t="s">
        <v>7331</v>
      </c>
      <c r="S1463">
        <v>0</v>
      </c>
    </row>
    <row r="1464" spans="1:19">
      <c r="A1464" t="s">
        <v>7334</v>
      </c>
      <c r="B1464">
        <v>103</v>
      </c>
      <c r="C1464" t="s">
        <v>7328</v>
      </c>
      <c r="D1464" t="s">
        <v>7871</v>
      </c>
      <c r="E1464" t="s">
        <v>12039</v>
      </c>
      <c r="F1464" t="s">
        <v>7303</v>
      </c>
      <c r="G1464">
        <v>-1.25</v>
      </c>
      <c r="H1464">
        <v>-1.25</v>
      </c>
      <c r="L1464" t="s">
        <v>7330</v>
      </c>
      <c r="M1464" t="s">
        <v>7330</v>
      </c>
      <c r="P1464">
        <v>0</v>
      </c>
      <c r="R1464" t="s">
        <v>7331</v>
      </c>
      <c r="S1464">
        <v>0</v>
      </c>
    </row>
    <row r="1465" spans="1:19">
      <c r="A1465" t="s">
        <v>7334</v>
      </c>
      <c r="B1465">
        <v>103</v>
      </c>
      <c r="C1465" t="s">
        <v>7328</v>
      </c>
      <c r="D1465" t="s">
        <v>7871</v>
      </c>
      <c r="E1465" t="s">
        <v>8991</v>
      </c>
      <c r="F1465" t="s">
        <v>7303</v>
      </c>
      <c r="G1465">
        <v>-1.5</v>
      </c>
      <c r="H1465">
        <v>-1.5</v>
      </c>
      <c r="L1465" t="s">
        <v>7330</v>
      </c>
      <c r="M1465" t="s">
        <v>7330</v>
      </c>
      <c r="N1465">
        <v>658</v>
      </c>
      <c r="P1465">
        <v>0</v>
      </c>
      <c r="Q1465">
        <v>658</v>
      </c>
      <c r="R1465" t="s">
        <v>7331</v>
      </c>
      <c r="S1465">
        <v>0</v>
      </c>
    </row>
    <row r="1466" spans="1:19">
      <c r="A1466" t="s">
        <v>7334</v>
      </c>
      <c r="B1466">
        <v>103</v>
      </c>
      <c r="C1466" t="s">
        <v>7328</v>
      </c>
      <c r="D1466" t="s">
        <v>7871</v>
      </c>
      <c r="E1466" t="s">
        <v>7892</v>
      </c>
      <c r="F1466" t="s">
        <v>7303</v>
      </c>
      <c r="G1466">
        <v>-1.75</v>
      </c>
      <c r="H1466">
        <v>-1.75</v>
      </c>
      <c r="L1466" t="s">
        <v>7330</v>
      </c>
      <c r="M1466" t="s">
        <v>7330</v>
      </c>
      <c r="N1466" s="501">
        <v>12</v>
      </c>
      <c r="P1466">
        <v>2</v>
      </c>
      <c r="Q1466">
        <v>10</v>
      </c>
      <c r="R1466" t="s">
        <v>7331</v>
      </c>
      <c r="S1466">
        <v>0</v>
      </c>
    </row>
    <row r="1467" spans="1:19">
      <c r="A1467" t="s">
        <v>7334</v>
      </c>
      <c r="B1467">
        <v>103</v>
      </c>
      <c r="C1467" t="s">
        <v>7328</v>
      </c>
      <c r="D1467" t="s">
        <v>7871</v>
      </c>
      <c r="E1467" t="s">
        <v>7893</v>
      </c>
      <c r="F1467" t="s">
        <v>7303</v>
      </c>
      <c r="G1467">
        <v>-2</v>
      </c>
      <c r="H1467">
        <v>-2</v>
      </c>
      <c r="L1467" t="s">
        <v>7330</v>
      </c>
      <c r="M1467" t="s">
        <v>7330</v>
      </c>
      <c r="N1467" s="501">
        <v>48</v>
      </c>
      <c r="P1467">
        <v>3</v>
      </c>
      <c r="Q1467">
        <v>45</v>
      </c>
      <c r="R1467" t="s">
        <v>7331</v>
      </c>
      <c r="S1467">
        <v>0</v>
      </c>
    </row>
    <row r="1468" spans="1:19">
      <c r="A1468" t="s">
        <v>7334</v>
      </c>
      <c r="B1468">
        <v>103</v>
      </c>
      <c r="C1468" t="s">
        <v>7328</v>
      </c>
      <c r="D1468" t="s">
        <v>7871</v>
      </c>
      <c r="E1468" t="s">
        <v>7894</v>
      </c>
      <c r="F1468" t="s">
        <v>7303</v>
      </c>
      <c r="G1468">
        <v>-2.5</v>
      </c>
      <c r="H1468">
        <v>-2.5</v>
      </c>
      <c r="L1468" t="s">
        <v>7330</v>
      </c>
      <c r="M1468" t="s">
        <v>7330</v>
      </c>
      <c r="N1468" s="501">
        <v>726</v>
      </c>
      <c r="P1468">
        <v>1</v>
      </c>
      <c r="Q1468" s="501">
        <v>725</v>
      </c>
      <c r="R1468" t="s">
        <v>7331</v>
      </c>
      <c r="S1468">
        <v>0</v>
      </c>
    </row>
    <row r="1469" spans="1:19">
      <c r="A1469" t="s">
        <v>7334</v>
      </c>
      <c r="B1469">
        <v>103</v>
      </c>
      <c r="C1469" t="s">
        <v>7328</v>
      </c>
      <c r="D1469" t="s">
        <v>7871</v>
      </c>
      <c r="E1469" t="s">
        <v>7895</v>
      </c>
      <c r="F1469" t="s">
        <v>7303</v>
      </c>
      <c r="G1469">
        <v>-2.75</v>
      </c>
      <c r="H1469">
        <v>-2.75</v>
      </c>
      <c r="L1469" t="s">
        <v>7330</v>
      </c>
      <c r="M1469" t="s">
        <v>7330</v>
      </c>
      <c r="N1469" s="501">
        <v>639</v>
      </c>
      <c r="P1469">
        <v>7</v>
      </c>
      <c r="Q1469" s="501">
        <v>632</v>
      </c>
      <c r="R1469" t="s">
        <v>7331</v>
      </c>
      <c r="S1469">
        <v>0</v>
      </c>
    </row>
    <row r="1470" spans="1:19">
      <c r="A1470" t="s">
        <v>7334</v>
      </c>
      <c r="B1470">
        <v>103</v>
      </c>
      <c r="C1470" t="s">
        <v>7328</v>
      </c>
      <c r="D1470" t="s">
        <v>7871</v>
      </c>
      <c r="E1470" t="s">
        <v>8992</v>
      </c>
      <c r="F1470" t="s">
        <v>7303</v>
      </c>
      <c r="G1470">
        <v>-3.25</v>
      </c>
      <c r="H1470">
        <v>-3.25</v>
      </c>
      <c r="L1470" t="s">
        <v>7330</v>
      </c>
      <c r="M1470" t="s">
        <v>7330</v>
      </c>
      <c r="N1470" s="501">
        <v>630</v>
      </c>
      <c r="P1470">
        <v>0</v>
      </c>
      <c r="Q1470" s="501">
        <v>630</v>
      </c>
      <c r="R1470" t="s">
        <v>7331</v>
      </c>
      <c r="S1470">
        <v>0</v>
      </c>
    </row>
    <row r="1471" spans="1:19">
      <c r="A1471" t="s">
        <v>7334</v>
      </c>
      <c r="B1471">
        <v>103</v>
      </c>
      <c r="C1471" t="s">
        <v>7328</v>
      </c>
      <c r="D1471" t="s">
        <v>7871</v>
      </c>
      <c r="E1471" t="s">
        <v>7896</v>
      </c>
      <c r="F1471" t="s">
        <v>7303</v>
      </c>
      <c r="G1471">
        <v>-3.75</v>
      </c>
      <c r="H1471">
        <v>-3.75</v>
      </c>
      <c r="L1471" t="s">
        <v>7330</v>
      </c>
      <c r="M1471" t="s">
        <v>7330</v>
      </c>
      <c r="N1471">
        <v>10</v>
      </c>
      <c r="P1471">
        <v>0</v>
      </c>
      <c r="Q1471">
        <v>10</v>
      </c>
      <c r="R1471" t="s">
        <v>7331</v>
      </c>
      <c r="S1471">
        <v>0</v>
      </c>
    </row>
    <row r="1472" spans="1:19">
      <c r="A1472" t="s">
        <v>7334</v>
      </c>
      <c r="B1472">
        <v>103</v>
      </c>
      <c r="C1472" t="s">
        <v>7328</v>
      </c>
      <c r="D1472" t="s">
        <v>7871</v>
      </c>
      <c r="E1472" t="s">
        <v>7897</v>
      </c>
      <c r="F1472" t="s">
        <v>7303</v>
      </c>
      <c r="G1472">
        <v>-4</v>
      </c>
      <c r="H1472">
        <v>-4</v>
      </c>
      <c r="L1472" t="s">
        <v>7330</v>
      </c>
      <c r="M1472" t="s">
        <v>7330</v>
      </c>
      <c r="N1472" s="501">
        <v>25</v>
      </c>
      <c r="P1472">
        <v>3</v>
      </c>
      <c r="Q1472" s="501">
        <v>22</v>
      </c>
      <c r="R1472" t="s">
        <v>7331</v>
      </c>
      <c r="S1472">
        <v>0</v>
      </c>
    </row>
    <row r="1473" spans="1:19">
      <c r="A1473" t="s">
        <v>7334</v>
      </c>
      <c r="B1473">
        <v>103</v>
      </c>
      <c r="C1473" t="s">
        <v>7328</v>
      </c>
      <c r="D1473" t="s">
        <v>7871</v>
      </c>
      <c r="E1473" t="s">
        <v>8993</v>
      </c>
      <c r="F1473" t="s">
        <v>7303</v>
      </c>
      <c r="G1473">
        <v>-4.25</v>
      </c>
      <c r="H1473">
        <v>-4.25</v>
      </c>
      <c r="L1473" t="s">
        <v>7330</v>
      </c>
      <c r="M1473" t="s">
        <v>7330</v>
      </c>
      <c r="N1473" s="501">
        <v>627</v>
      </c>
      <c r="P1473">
        <v>0</v>
      </c>
      <c r="Q1473" s="501">
        <v>627</v>
      </c>
      <c r="R1473" t="s">
        <v>7331</v>
      </c>
      <c r="S1473">
        <v>0</v>
      </c>
    </row>
    <row r="1474" spans="1:19">
      <c r="A1474" t="s">
        <v>7334</v>
      </c>
      <c r="B1474">
        <v>103</v>
      </c>
      <c r="C1474" t="s">
        <v>7328</v>
      </c>
      <c r="D1474" t="s">
        <v>7871</v>
      </c>
      <c r="E1474" t="s">
        <v>7898</v>
      </c>
      <c r="F1474" t="s">
        <v>7303</v>
      </c>
      <c r="G1474">
        <v>-4.5</v>
      </c>
      <c r="H1474">
        <v>-4.5</v>
      </c>
      <c r="L1474" t="s">
        <v>7330</v>
      </c>
      <c r="M1474" t="s">
        <v>7330</v>
      </c>
      <c r="N1474">
        <v>206</v>
      </c>
      <c r="P1474">
        <v>153</v>
      </c>
      <c r="Q1474">
        <v>53</v>
      </c>
      <c r="R1474" t="s">
        <v>7331</v>
      </c>
      <c r="S1474">
        <v>0</v>
      </c>
    </row>
    <row r="1475" spans="1:19">
      <c r="A1475" t="s">
        <v>7334</v>
      </c>
      <c r="B1475">
        <v>103</v>
      </c>
      <c r="C1475" t="s">
        <v>7328</v>
      </c>
      <c r="D1475" t="s">
        <v>7871</v>
      </c>
      <c r="E1475" t="s">
        <v>8994</v>
      </c>
      <c r="F1475" t="s">
        <v>7303</v>
      </c>
      <c r="G1475">
        <v>-4.75</v>
      </c>
      <c r="H1475">
        <v>-4.75</v>
      </c>
      <c r="L1475" t="s">
        <v>7330</v>
      </c>
      <c r="M1475" t="s">
        <v>7330</v>
      </c>
      <c r="N1475">
        <v>600</v>
      </c>
      <c r="P1475">
        <v>0</v>
      </c>
      <c r="Q1475">
        <v>600</v>
      </c>
      <c r="R1475" t="s">
        <v>7331</v>
      </c>
      <c r="S1475">
        <v>0</v>
      </c>
    </row>
    <row r="1476" spans="1:19">
      <c r="A1476" t="s">
        <v>7334</v>
      </c>
      <c r="B1476">
        <v>103</v>
      </c>
      <c r="C1476" t="s">
        <v>7328</v>
      </c>
      <c r="D1476" t="s">
        <v>7871</v>
      </c>
      <c r="E1476" t="s">
        <v>7899</v>
      </c>
      <c r="F1476" t="s">
        <v>7303</v>
      </c>
      <c r="G1476">
        <v>-5.5</v>
      </c>
      <c r="H1476">
        <v>-5.5</v>
      </c>
      <c r="L1476" t="s">
        <v>7330</v>
      </c>
      <c r="M1476" t="s">
        <v>7330</v>
      </c>
      <c r="N1476">
        <v>3</v>
      </c>
      <c r="P1476">
        <v>1</v>
      </c>
      <c r="Q1476">
        <v>2</v>
      </c>
      <c r="R1476" t="s">
        <v>7331</v>
      </c>
      <c r="S1476">
        <v>0</v>
      </c>
    </row>
    <row r="1477" spans="1:19">
      <c r="A1477" t="s">
        <v>7334</v>
      </c>
      <c r="B1477">
        <v>103</v>
      </c>
      <c r="C1477" t="s">
        <v>7328</v>
      </c>
      <c r="D1477" t="s">
        <v>7871</v>
      </c>
      <c r="E1477" t="s">
        <v>7900</v>
      </c>
      <c r="F1477" t="s">
        <v>7303</v>
      </c>
      <c r="G1477">
        <v>-6.5</v>
      </c>
      <c r="H1477">
        <v>-6.5</v>
      </c>
      <c r="L1477" t="s">
        <v>7330</v>
      </c>
      <c r="M1477" t="s">
        <v>7330</v>
      </c>
      <c r="N1477">
        <v>214</v>
      </c>
      <c r="P1477">
        <v>157</v>
      </c>
      <c r="Q1477">
        <v>57</v>
      </c>
      <c r="R1477" t="s">
        <v>7331</v>
      </c>
      <c r="S1477">
        <v>0</v>
      </c>
    </row>
    <row r="1478" spans="1:19">
      <c r="A1478" t="s">
        <v>7334</v>
      </c>
      <c r="B1478">
        <v>103</v>
      </c>
      <c r="C1478" t="s">
        <v>7328</v>
      </c>
      <c r="D1478" t="s">
        <v>7871</v>
      </c>
      <c r="E1478" t="s">
        <v>7901</v>
      </c>
      <c r="F1478" t="s">
        <v>7303</v>
      </c>
      <c r="G1478">
        <v>-7</v>
      </c>
      <c r="H1478">
        <v>-7</v>
      </c>
      <c r="L1478" t="s">
        <v>7330</v>
      </c>
      <c r="M1478" t="s">
        <v>7330</v>
      </c>
      <c r="N1478">
        <v>4</v>
      </c>
      <c r="P1478">
        <v>1</v>
      </c>
      <c r="Q1478">
        <v>3</v>
      </c>
      <c r="R1478" t="s">
        <v>7331</v>
      </c>
      <c r="S1478">
        <v>0</v>
      </c>
    </row>
    <row r="1479" spans="1:19">
      <c r="A1479" t="s">
        <v>7334</v>
      </c>
      <c r="B1479">
        <v>103</v>
      </c>
      <c r="C1479" t="s">
        <v>7328</v>
      </c>
      <c r="D1479" t="s">
        <v>7871</v>
      </c>
      <c r="E1479" t="s">
        <v>7902</v>
      </c>
      <c r="F1479" t="s">
        <v>7303</v>
      </c>
      <c r="G1479">
        <v>-7.5</v>
      </c>
      <c r="H1479">
        <v>-7.5</v>
      </c>
      <c r="L1479" t="s">
        <v>7330</v>
      </c>
      <c r="M1479" t="s">
        <v>7330</v>
      </c>
      <c r="N1479">
        <v>826</v>
      </c>
      <c r="P1479">
        <v>79</v>
      </c>
      <c r="Q1479">
        <v>747</v>
      </c>
      <c r="R1479" t="s">
        <v>7331</v>
      </c>
      <c r="S1479">
        <v>0</v>
      </c>
    </row>
    <row r="1480" spans="1:19">
      <c r="A1480" t="s">
        <v>7334</v>
      </c>
      <c r="B1480">
        <v>103</v>
      </c>
      <c r="C1480" t="s">
        <v>7328</v>
      </c>
      <c r="D1480" t="s">
        <v>7871</v>
      </c>
      <c r="E1480" t="s">
        <v>7903</v>
      </c>
      <c r="F1480" t="s">
        <v>7303</v>
      </c>
      <c r="G1480">
        <v>-8</v>
      </c>
      <c r="H1480">
        <v>-8</v>
      </c>
      <c r="L1480" t="s">
        <v>7330</v>
      </c>
      <c r="M1480" t="s">
        <v>7330</v>
      </c>
      <c r="N1480">
        <v>809</v>
      </c>
      <c r="P1480">
        <v>62</v>
      </c>
      <c r="Q1480">
        <v>747</v>
      </c>
      <c r="R1480" t="s">
        <v>7331</v>
      </c>
      <c r="S1480">
        <v>0</v>
      </c>
    </row>
    <row r="1481" spans="1:19">
      <c r="A1481" t="s">
        <v>7334</v>
      </c>
      <c r="B1481">
        <v>103</v>
      </c>
      <c r="C1481" t="s">
        <v>7328</v>
      </c>
      <c r="D1481" t="s">
        <v>7904</v>
      </c>
      <c r="E1481" t="s">
        <v>7905</v>
      </c>
      <c r="F1481" t="s">
        <v>7906</v>
      </c>
      <c r="G1481">
        <v>0</v>
      </c>
      <c r="H1481">
        <v>0</v>
      </c>
      <c r="L1481" t="s">
        <v>7330</v>
      </c>
      <c r="M1481" t="s">
        <v>7330</v>
      </c>
      <c r="N1481">
        <v>581</v>
      </c>
      <c r="P1481">
        <v>28</v>
      </c>
      <c r="Q1481">
        <v>553</v>
      </c>
      <c r="R1481" t="s">
        <v>7331</v>
      </c>
      <c r="S1481">
        <v>0</v>
      </c>
    </row>
    <row r="1482" spans="1:19">
      <c r="A1482" t="s">
        <v>7334</v>
      </c>
      <c r="B1482">
        <v>103</v>
      </c>
      <c r="C1482" t="s">
        <v>7328</v>
      </c>
      <c r="D1482" t="s">
        <v>7904</v>
      </c>
      <c r="E1482" t="s">
        <v>7907</v>
      </c>
      <c r="F1482" t="s">
        <v>7906</v>
      </c>
      <c r="G1482">
        <v>-0.5</v>
      </c>
      <c r="H1482">
        <v>-0.5</v>
      </c>
      <c r="L1482" t="s">
        <v>7330</v>
      </c>
      <c r="M1482" t="s">
        <v>7330</v>
      </c>
      <c r="N1482">
        <v>556</v>
      </c>
      <c r="P1482">
        <v>19</v>
      </c>
      <c r="Q1482">
        <v>537</v>
      </c>
      <c r="R1482" t="s">
        <v>7331</v>
      </c>
      <c r="S1482">
        <v>0</v>
      </c>
    </row>
    <row r="1483" spans="1:19">
      <c r="A1483" t="s">
        <v>7334</v>
      </c>
      <c r="B1483">
        <v>103</v>
      </c>
      <c r="C1483" t="s">
        <v>7328</v>
      </c>
      <c r="D1483" t="s">
        <v>7904</v>
      </c>
      <c r="E1483" t="s">
        <v>7908</v>
      </c>
      <c r="F1483" t="s">
        <v>7906</v>
      </c>
      <c r="G1483">
        <v>-0.75</v>
      </c>
      <c r="H1483">
        <v>-0.75</v>
      </c>
      <c r="L1483" t="s">
        <v>7330</v>
      </c>
      <c r="M1483" t="s">
        <v>7330</v>
      </c>
      <c r="N1483">
        <v>456</v>
      </c>
      <c r="P1483">
        <v>19</v>
      </c>
      <c r="Q1483">
        <v>437</v>
      </c>
      <c r="R1483" t="s">
        <v>7331</v>
      </c>
      <c r="S1483">
        <v>0</v>
      </c>
    </row>
    <row r="1484" spans="1:19">
      <c r="A1484" t="s">
        <v>7334</v>
      </c>
      <c r="B1484">
        <v>103</v>
      </c>
      <c r="C1484" t="s">
        <v>7328</v>
      </c>
      <c r="D1484" t="s">
        <v>7904</v>
      </c>
      <c r="E1484" t="s">
        <v>7909</v>
      </c>
      <c r="F1484" t="s">
        <v>7906</v>
      </c>
      <c r="G1484">
        <v>-1</v>
      </c>
      <c r="H1484">
        <v>-1</v>
      </c>
      <c r="L1484" t="s">
        <v>7330</v>
      </c>
      <c r="M1484" t="s">
        <v>7330</v>
      </c>
      <c r="N1484">
        <v>532</v>
      </c>
      <c r="P1484">
        <v>28</v>
      </c>
      <c r="Q1484">
        <v>504</v>
      </c>
      <c r="R1484" t="s">
        <v>7331</v>
      </c>
      <c r="S1484">
        <v>0</v>
      </c>
    </row>
    <row r="1485" spans="1:19">
      <c r="A1485" t="s">
        <v>7334</v>
      </c>
      <c r="B1485">
        <v>103</v>
      </c>
      <c r="C1485" t="s">
        <v>7328</v>
      </c>
      <c r="D1485" t="s">
        <v>7904</v>
      </c>
      <c r="E1485" t="s">
        <v>7910</v>
      </c>
      <c r="F1485" t="s">
        <v>7906</v>
      </c>
      <c r="G1485">
        <v>-1.25</v>
      </c>
      <c r="H1485">
        <v>-1.25</v>
      </c>
      <c r="L1485" t="s">
        <v>7330</v>
      </c>
      <c r="M1485" t="s">
        <v>7330</v>
      </c>
      <c r="N1485">
        <v>444</v>
      </c>
      <c r="P1485">
        <v>33</v>
      </c>
      <c r="Q1485">
        <v>411</v>
      </c>
      <c r="R1485" t="s">
        <v>7331</v>
      </c>
      <c r="S1485">
        <v>0</v>
      </c>
    </row>
    <row r="1486" spans="1:19">
      <c r="A1486" t="s">
        <v>7334</v>
      </c>
      <c r="B1486">
        <v>103</v>
      </c>
      <c r="C1486" t="s">
        <v>7328</v>
      </c>
      <c r="D1486" t="s">
        <v>7904</v>
      </c>
      <c r="E1486" t="s">
        <v>7911</v>
      </c>
      <c r="F1486" t="s">
        <v>7906</v>
      </c>
      <c r="G1486">
        <v>-1.5</v>
      </c>
      <c r="H1486">
        <v>-1.5</v>
      </c>
      <c r="L1486" t="s">
        <v>7330</v>
      </c>
      <c r="M1486" t="s">
        <v>7330</v>
      </c>
      <c r="N1486">
        <v>471</v>
      </c>
      <c r="P1486">
        <v>31</v>
      </c>
      <c r="Q1486">
        <v>440</v>
      </c>
      <c r="R1486" t="s">
        <v>7331</v>
      </c>
      <c r="S1486">
        <v>0</v>
      </c>
    </row>
    <row r="1487" spans="1:19">
      <c r="A1487" t="s">
        <v>7334</v>
      </c>
      <c r="B1487">
        <v>103</v>
      </c>
      <c r="C1487" t="s">
        <v>7328</v>
      </c>
      <c r="D1487" t="s">
        <v>7904</v>
      </c>
      <c r="E1487" t="s">
        <v>7912</v>
      </c>
      <c r="F1487" t="s">
        <v>7906</v>
      </c>
      <c r="G1487">
        <v>-1.75</v>
      </c>
      <c r="H1487">
        <v>-1.75</v>
      </c>
      <c r="L1487" t="s">
        <v>7330</v>
      </c>
      <c r="M1487" t="s">
        <v>7330</v>
      </c>
      <c r="N1487">
        <v>432</v>
      </c>
      <c r="P1487">
        <v>28</v>
      </c>
      <c r="Q1487">
        <v>404</v>
      </c>
      <c r="R1487" t="s">
        <v>7331</v>
      </c>
      <c r="S1487">
        <v>0</v>
      </c>
    </row>
    <row r="1488" spans="1:19">
      <c r="A1488" t="s">
        <v>7334</v>
      </c>
      <c r="B1488">
        <v>103</v>
      </c>
      <c r="C1488" t="s">
        <v>7328</v>
      </c>
      <c r="D1488" t="s">
        <v>7904</v>
      </c>
      <c r="E1488" t="s">
        <v>7913</v>
      </c>
      <c r="F1488" t="s">
        <v>7906</v>
      </c>
      <c r="G1488">
        <v>-2</v>
      </c>
      <c r="H1488">
        <v>-2</v>
      </c>
      <c r="L1488" t="s">
        <v>7330</v>
      </c>
      <c r="M1488" t="s">
        <v>7330</v>
      </c>
      <c r="N1488">
        <v>278</v>
      </c>
      <c r="P1488">
        <v>28</v>
      </c>
      <c r="Q1488">
        <v>250</v>
      </c>
      <c r="R1488" t="s">
        <v>7331</v>
      </c>
      <c r="S1488">
        <v>0</v>
      </c>
    </row>
    <row r="1489" spans="1:19">
      <c r="A1489" t="s">
        <v>7334</v>
      </c>
      <c r="B1489">
        <v>103</v>
      </c>
      <c r="C1489" t="s">
        <v>7328</v>
      </c>
      <c r="D1489" t="s">
        <v>7904</v>
      </c>
      <c r="E1489" t="s">
        <v>7914</v>
      </c>
      <c r="F1489" t="s">
        <v>7906</v>
      </c>
      <c r="G1489">
        <v>-2.25</v>
      </c>
      <c r="H1489">
        <v>-2.25</v>
      </c>
      <c r="L1489" t="s">
        <v>7330</v>
      </c>
      <c r="M1489" t="s">
        <v>7330</v>
      </c>
      <c r="N1489">
        <v>517</v>
      </c>
      <c r="P1489">
        <v>31</v>
      </c>
      <c r="Q1489">
        <v>486</v>
      </c>
      <c r="R1489" t="s">
        <v>7331</v>
      </c>
      <c r="S1489">
        <v>0</v>
      </c>
    </row>
    <row r="1490" spans="1:19">
      <c r="A1490" t="s">
        <v>7334</v>
      </c>
      <c r="B1490">
        <v>103</v>
      </c>
      <c r="C1490" t="s">
        <v>7328</v>
      </c>
      <c r="D1490" t="s">
        <v>7904</v>
      </c>
      <c r="E1490" t="s">
        <v>7915</v>
      </c>
      <c r="F1490" t="s">
        <v>7906</v>
      </c>
      <c r="G1490">
        <v>-2.5</v>
      </c>
      <c r="H1490">
        <v>-2.5</v>
      </c>
      <c r="L1490" t="s">
        <v>7330</v>
      </c>
      <c r="M1490" t="s">
        <v>7330</v>
      </c>
      <c r="N1490">
        <v>278</v>
      </c>
      <c r="P1490">
        <v>29</v>
      </c>
      <c r="Q1490">
        <v>249</v>
      </c>
      <c r="R1490" t="s">
        <v>7331</v>
      </c>
      <c r="S1490">
        <v>0</v>
      </c>
    </row>
    <row r="1491" spans="1:19">
      <c r="A1491" t="s">
        <v>7334</v>
      </c>
      <c r="B1491">
        <v>103</v>
      </c>
      <c r="C1491" t="s">
        <v>7328</v>
      </c>
      <c r="D1491" t="s">
        <v>7904</v>
      </c>
      <c r="E1491" t="s">
        <v>7916</v>
      </c>
      <c r="F1491" t="s">
        <v>7906</v>
      </c>
      <c r="G1491">
        <v>-2.75</v>
      </c>
      <c r="H1491">
        <v>-2.75</v>
      </c>
      <c r="L1491" t="s">
        <v>7330</v>
      </c>
      <c r="M1491" t="s">
        <v>7330</v>
      </c>
      <c r="N1491">
        <v>512</v>
      </c>
      <c r="P1491">
        <v>35</v>
      </c>
      <c r="Q1491">
        <v>477</v>
      </c>
      <c r="R1491" t="s">
        <v>7331</v>
      </c>
      <c r="S1491">
        <v>0</v>
      </c>
    </row>
    <row r="1492" spans="1:19">
      <c r="A1492" t="s">
        <v>7334</v>
      </c>
      <c r="B1492">
        <v>103</v>
      </c>
      <c r="C1492" t="s">
        <v>7328</v>
      </c>
      <c r="D1492" t="s">
        <v>7904</v>
      </c>
      <c r="E1492" t="s">
        <v>7917</v>
      </c>
      <c r="F1492" t="s">
        <v>7906</v>
      </c>
      <c r="G1492">
        <v>-3</v>
      </c>
      <c r="H1492">
        <v>-3</v>
      </c>
      <c r="L1492" t="s">
        <v>7330</v>
      </c>
      <c r="M1492" t="s">
        <v>7330</v>
      </c>
      <c r="N1492">
        <v>293</v>
      </c>
      <c r="P1492">
        <v>28</v>
      </c>
      <c r="Q1492">
        <v>265</v>
      </c>
      <c r="R1492" t="s">
        <v>7331</v>
      </c>
      <c r="S1492">
        <v>0</v>
      </c>
    </row>
    <row r="1493" spans="1:19">
      <c r="A1493" t="s">
        <v>7334</v>
      </c>
      <c r="B1493">
        <v>103</v>
      </c>
      <c r="C1493" t="s">
        <v>7328</v>
      </c>
      <c r="D1493" t="s">
        <v>7904</v>
      </c>
      <c r="E1493" t="s">
        <v>7918</v>
      </c>
      <c r="F1493" t="s">
        <v>7906</v>
      </c>
      <c r="G1493">
        <v>-3.25</v>
      </c>
      <c r="H1493">
        <v>-3.25</v>
      </c>
      <c r="L1493" t="s">
        <v>7330</v>
      </c>
      <c r="M1493" t="s">
        <v>7330</v>
      </c>
      <c r="N1493">
        <v>381</v>
      </c>
      <c r="P1493">
        <v>31</v>
      </c>
      <c r="Q1493">
        <v>350</v>
      </c>
      <c r="R1493" t="s">
        <v>7331</v>
      </c>
      <c r="S1493">
        <v>0</v>
      </c>
    </row>
    <row r="1494" spans="1:19">
      <c r="A1494" t="s">
        <v>7334</v>
      </c>
      <c r="B1494">
        <v>103</v>
      </c>
      <c r="C1494" t="s">
        <v>7328</v>
      </c>
      <c r="D1494" t="s">
        <v>7904</v>
      </c>
      <c r="E1494" t="s">
        <v>7919</v>
      </c>
      <c r="F1494" t="s">
        <v>7906</v>
      </c>
      <c r="G1494">
        <v>-3.5</v>
      </c>
      <c r="H1494">
        <v>-3.5</v>
      </c>
      <c r="L1494" t="s">
        <v>7330</v>
      </c>
      <c r="M1494" t="s">
        <v>7330</v>
      </c>
      <c r="N1494">
        <v>454</v>
      </c>
      <c r="P1494">
        <v>27</v>
      </c>
      <c r="Q1494">
        <v>427</v>
      </c>
      <c r="R1494" t="s">
        <v>7331</v>
      </c>
      <c r="S1494">
        <v>0</v>
      </c>
    </row>
    <row r="1495" spans="1:19">
      <c r="A1495" t="s">
        <v>7334</v>
      </c>
      <c r="B1495">
        <v>103</v>
      </c>
      <c r="C1495" t="s">
        <v>7328</v>
      </c>
      <c r="D1495" t="s">
        <v>7904</v>
      </c>
      <c r="E1495" t="s">
        <v>7920</v>
      </c>
      <c r="F1495" t="s">
        <v>7906</v>
      </c>
      <c r="G1495">
        <v>-3.75</v>
      </c>
      <c r="H1495">
        <v>-3.75</v>
      </c>
      <c r="L1495" t="s">
        <v>7330</v>
      </c>
      <c r="M1495" t="s">
        <v>7330</v>
      </c>
      <c r="N1495">
        <v>440</v>
      </c>
      <c r="P1495">
        <v>28</v>
      </c>
      <c r="Q1495">
        <v>412</v>
      </c>
      <c r="R1495" t="s">
        <v>7331</v>
      </c>
      <c r="S1495">
        <v>0</v>
      </c>
    </row>
    <row r="1496" spans="1:19">
      <c r="A1496" t="s">
        <v>7334</v>
      </c>
      <c r="B1496">
        <v>103</v>
      </c>
      <c r="C1496" t="s">
        <v>7328</v>
      </c>
      <c r="D1496" t="s">
        <v>7904</v>
      </c>
      <c r="E1496" t="s">
        <v>7940</v>
      </c>
      <c r="F1496" t="s">
        <v>7906</v>
      </c>
      <c r="G1496">
        <v>-4</v>
      </c>
      <c r="H1496">
        <v>-4</v>
      </c>
      <c r="L1496" t="s">
        <v>7330</v>
      </c>
      <c r="M1496" t="s">
        <v>7330</v>
      </c>
      <c r="N1496">
        <v>409</v>
      </c>
      <c r="P1496">
        <v>30</v>
      </c>
      <c r="Q1496">
        <v>379</v>
      </c>
      <c r="R1496" t="s">
        <v>7331</v>
      </c>
      <c r="S1496">
        <v>0</v>
      </c>
    </row>
    <row r="1497" spans="1:19">
      <c r="A1497" t="s">
        <v>7334</v>
      </c>
      <c r="B1497">
        <v>103</v>
      </c>
      <c r="C1497" t="s">
        <v>7328</v>
      </c>
      <c r="D1497" t="s">
        <v>7904</v>
      </c>
      <c r="E1497" t="s">
        <v>7941</v>
      </c>
      <c r="F1497" t="s">
        <v>7906</v>
      </c>
      <c r="G1497">
        <v>-4.25</v>
      </c>
      <c r="H1497">
        <v>-4.25</v>
      </c>
      <c r="L1497" t="s">
        <v>7330</v>
      </c>
      <c r="M1497" t="s">
        <v>7330</v>
      </c>
      <c r="N1497">
        <v>352</v>
      </c>
      <c r="P1497">
        <v>28</v>
      </c>
      <c r="Q1497">
        <v>324</v>
      </c>
      <c r="R1497" t="s">
        <v>7331</v>
      </c>
      <c r="S1497">
        <v>0</v>
      </c>
    </row>
    <row r="1498" spans="1:19">
      <c r="A1498" t="s">
        <v>7334</v>
      </c>
      <c r="B1498">
        <v>103</v>
      </c>
      <c r="C1498" t="s">
        <v>7328</v>
      </c>
      <c r="D1498" t="s">
        <v>7904</v>
      </c>
      <c r="E1498" t="s">
        <v>7921</v>
      </c>
      <c r="F1498" t="s">
        <v>7906</v>
      </c>
      <c r="G1498">
        <v>-4.5</v>
      </c>
      <c r="H1498">
        <v>-4.5</v>
      </c>
      <c r="L1498" t="s">
        <v>7330</v>
      </c>
      <c r="M1498" t="s">
        <v>7330</v>
      </c>
      <c r="N1498">
        <v>426</v>
      </c>
      <c r="P1498">
        <v>29</v>
      </c>
      <c r="Q1498">
        <v>397</v>
      </c>
      <c r="R1498" t="s">
        <v>7331</v>
      </c>
      <c r="S1498">
        <v>0</v>
      </c>
    </row>
    <row r="1499" spans="1:19">
      <c r="A1499" t="s">
        <v>7334</v>
      </c>
      <c r="B1499">
        <v>103</v>
      </c>
      <c r="C1499" t="s">
        <v>7328</v>
      </c>
      <c r="D1499" t="s">
        <v>7904</v>
      </c>
      <c r="E1499" t="s">
        <v>7942</v>
      </c>
      <c r="F1499" t="s">
        <v>7906</v>
      </c>
      <c r="G1499">
        <v>-4.75</v>
      </c>
      <c r="H1499">
        <v>-4.75</v>
      </c>
      <c r="L1499" t="s">
        <v>7330</v>
      </c>
      <c r="M1499" t="s">
        <v>7330</v>
      </c>
      <c r="N1499">
        <v>316</v>
      </c>
      <c r="P1499">
        <v>28</v>
      </c>
      <c r="Q1499">
        <v>288</v>
      </c>
      <c r="R1499" t="s">
        <v>7331</v>
      </c>
      <c r="S1499">
        <v>0</v>
      </c>
    </row>
    <row r="1500" spans="1:19">
      <c r="A1500" t="s">
        <v>7334</v>
      </c>
      <c r="B1500">
        <v>103</v>
      </c>
      <c r="C1500" t="s">
        <v>7328</v>
      </c>
      <c r="D1500" t="s">
        <v>7904</v>
      </c>
      <c r="E1500" t="s">
        <v>7943</v>
      </c>
      <c r="F1500" t="s">
        <v>7906</v>
      </c>
      <c r="G1500">
        <v>-5</v>
      </c>
      <c r="H1500">
        <v>-5</v>
      </c>
      <c r="L1500" t="s">
        <v>7330</v>
      </c>
      <c r="M1500" t="s">
        <v>7330</v>
      </c>
      <c r="N1500">
        <v>481</v>
      </c>
      <c r="P1500">
        <v>28</v>
      </c>
      <c r="Q1500">
        <v>453</v>
      </c>
      <c r="R1500" t="s">
        <v>7331</v>
      </c>
      <c r="S1500">
        <v>0</v>
      </c>
    </row>
    <row r="1501" spans="1:19">
      <c r="A1501" t="s">
        <v>7334</v>
      </c>
      <c r="B1501">
        <v>103</v>
      </c>
      <c r="C1501" t="s">
        <v>7328</v>
      </c>
      <c r="D1501" t="s">
        <v>7904</v>
      </c>
      <c r="E1501" t="s">
        <v>7944</v>
      </c>
      <c r="F1501" t="s">
        <v>7906</v>
      </c>
      <c r="G1501">
        <v>-5.5</v>
      </c>
      <c r="H1501">
        <v>-5.5</v>
      </c>
      <c r="L1501" t="s">
        <v>7330</v>
      </c>
      <c r="M1501" t="s">
        <v>7330</v>
      </c>
      <c r="N1501">
        <v>356</v>
      </c>
      <c r="P1501">
        <v>28</v>
      </c>
      <c r="Q1501">
        <v>328</v>
      </c>
      <c r="R1501" t="s">
        <v>7331</v>
      </c>
      <c r="S1501">
        <v>0</v>
      </c>
    </row>
    <row r="1502" spans="1:19">
      <c r="A1502" t="s">
        <v>7334</v>
      </c>
      <c r="B1502">
        <v>103</v>
      </c>
      <c r="C1502" t="s">
        <v>7328</v>
      </c>
      <c r="D1502" t="s">
        <v>7904</v>
      </c>
      <c r="E1502" t="s">
        <v>7922</v>
      </c>
      <c r="F1502" t="s">
        <v>7906</v>
      </c>
      <c r="G1502">
        <v>-6</v>
      </c>
      <c r="H1502">
        <v>-6</v>
      </c>
      <c r="L1502" t="s">
        <v>7330</v>
      </c>
      <c r="M1502" t="s">
        <v>7330</v>
      </c>
      <c r="N1502">
        <v>485</v>
      </c>
      <c r="P1502">
        <v>27</v>
      </c>
      <c r="Q1502">
        <v>458</v>
      </c>
      <c r="R1502" t="s">
        <v>7331</v>
      </c>
      <c r="S1502">
        <v>0</v>
      </c>
    </row>
    <row r="1503" spans="1:19">
      <c r="A1503" t="s">
        <v>7334</v>
      </c>
      <c r="B1503">
        <v>103</v>
      </c>
      <c r="C1503" t="s">
        <v>7328</v>
      </c>
      <c r="D1503" t="s">
        <v>7904</v>
      </c>
      <c r="E1503" t="s">
        <v>7923</v>
      </c>
      <c r="F1503" t="s">
        <v>7906</v>
      </c>
      <c r="G1503">
        <v>-6.5</v>
      </c>
      <c r="H1503">
        <v>-6.5</v>
      </c>
      <c r="L1503" t="s">
        <v>7330</v>
      </c>
      <c r="M1503" t="s">
        <v>7330</v>
      </c>
      <c r="N1503">
        <v>318</v>
      </c>
      <c r="P1503">
        <v>26</v>
      </c>
      <c r="Q1503">
        <v>292</v>
      </c>
      <c r="R1503" t="s">
        <v>7331</v>
      </c>
      <c r="S1503">
        <v>0</v>
      </c>
    </row>
    <row r="1504" spans="1:19">
      <c r="A1504" t="s">
        <v>7334</v>
      </c>
      <c r="B1504">
        <v>103</v>
      </c>
      <c r="C1504" t="s">
        <v>7328</v>
      </c>
      <c r="D1504" t="s">
        <v>7904</v>
      </c>
      <c r="E1504" t="s">
        <v>7924</v>
      </c>
      <c r="F1504" t="s">
        <v>7906</v>
      </c>
      <c r="G1504">
        <v>-7</v>
      </c>
      <c r="H1504">
        <v>-7</v>
      </c>
      <c r="L1504" t="s">
        <v>7330</v>
      </c>
      <c r="M1504" t="s">
        <v>7330</v>
      </c>
      <c r="N1504">
        <v>381</v>
      </c>
      <c r="P1504">
        <v>15</v>
      </c>
      <c r="Q1504">
        <v>366</v>
      </c>
      <c r="R1504" t="s">
        <v>7331</v>
      </c>
      <c r="S1504">
        <v>0</v>
      </c>
    </row>
    <row r="1505" spans="1:19">
      <c r="A1505" t="s">
        <v>7334</v>
      </c>
      <c r="B1505">
        <v>103</v>
      </c>
      <c r="C1505" t="s">
        <v>7328</v>
      </c>
      <c r="D1505" t="s">
        <v>7904</v>
      </c>
      <c r="E1505" t="s">
        <v>7925</v>
      </c>
      <c r="F1505" t="s">
        <v>7906</v>
      </c>
      <c r="G1505">
        <v>-7.5</v>
      </c>
      <c r="H1505">
        <v>-7.5</v>
      </c>
      <c r="L1505" t="s">
        <v>7330</v>
      </c>
      <c r="M1505" t="s">
        <v>7330</v>
      </c>
      <c r="N1505">
        <v>281</v>
      </c>
      <c r="P1505">
        <v>9</v>
      </c>
      <c r="Q1505">
        <v>272</v>
      </c>
      <c r="R1505" t="s">
        <v>7331</v>
      </c>
      <c r="S1505">
        <v>0</v>
      </c>
    </row>
    <row r="1506" spans="1:19">
      <c r="A1506" t="s">
        <v>7334</v>
      </c>
      <c r="B1506">
        <v>103</v>
      </c>
      <c r="C1506" t="s">
        <v>7328</v>
      </c>
      <c r="D1506" t="s">
        <v>7904</v>
      </c>
      <c r="E1506" t="s">
        <v>7926</v>
      </c>
      <c r="F1506" t="s">
        <v>7906</v>
      </c>
      <c r="G1506">
        <v>-8</v>
      </c>
      <c r="H1506">
        <v>-8</v>
      </c>
      <c r="L1506" t="s">
        <v>7330</v>
      </c>
      <c r="M1506" t="s">
        <v>7330</v>
      </c>
      <c r="N1506">
        <v>375</v>
      </c>
      <c r="P1506">
        <v>8</v>
      </c>
      <c r="Q1506">
        <v>367</v>
      </c>
      <c r="R1506" t="s">
        <v>7331</v>
      </c>
      <c r="S1506">
        <v>0</v>
      </c>
    </row>
    <row r="1507" spans="1:19">
      <c r="A1507" t="s">
        <v>7334</v>
      </c>
      <c r="B1507">
        <v>103</v>
      </c>
      <c r="C1507" t="s">
        <v>7328</v>
      </c>
      <c r="D1507" t="s">
        <v>7945</v>
      </c>
      <c r="E1507" t="s">
        <v>7946</v>
      </c>
      <c r="F1507" t="s">
        <v>7302</v>
      </c>
      <c r="G1507">
        <v>0</v>
      </c>
      <c r="H1507">
        <v>0</v>
      </c>
      <c r="L1507" t="s">
        <v>7330</v>
      </c>
      <c r="M1507" t="s">
        <v>7330</v>
      </c>
      <c r="N1507">
        <v>300</v>
      </c>
      <c r="P1507">
        <v>33</v>
      </c>
      <c r="Q1507">
        <v>267</v>
      </c>
      <c r="R1507" t="s">
        <v>7331</v>
      </c>
      <c r="S1507">
        <v>0</v>
      </c>
    </row>
    <row r="1508" spans="1:19">
      <c r="A1508" t="s">
        <v>7334</v>
      </c>
      <c r="B1508">
        <v>103</v>
      </c>
      <c r="C1508" t="s">
        <v>7328</v>
      </c>
      <c r="D1508" t="s">
        <v>7945</v>
      </c>
      <c r="E1508" t="s">
        <v>7947</v>
      </c>
      <c r="F1508" t="s">
        <v>7302</v>
      </c>
      <c r="G1508">
        <v>-0.75</v>
      </c>
      <c r="H1508">
        <v>-0.75</v>
      </c>
      <c r="L1508" t="s">
        <v>7330</v>
      </c>
      <c r="M1508" t="s">
        <v>7330</v>
      </c>
      <c r="N1508">
        <v>58</v>
      </c>
      <c r="P1508">
        <v>8</v>
      </c>
      <c r="Q1508">
        <v>50</v>
      </c>
      <c r="R1508" t="s">
        <v>7331</v>
      </c>
      <c r="S1508">
        <v>0</v>
      </c>
    </row>
    <row r="1509" spans="1:19">
      <c r="A1509" t="s">
        <v>7334</v>
      </c>
      <c r="B1509">
        <v>103</v>
      </c>
      <c r="C1509" t="s">
        <v>7328</v>
      </c>
      <c r="D1509" t="s">
        <v>7945</v>
      </c>
      <c r="E1509" t="s">
        <v>7948</v>
      </c>
      <c r="F1509" t="s">
        <v>7302</v>
      </c>
      <c r="G1509">
        <v>-1</v>
      </c>
      <c r="H1509">
        <v>-1</v>
      </c>
      <c r="L1509" t="s">
        <v>7330</v>
      </c>
      <c r="M1509" t="s">
        <v>7330</v>
      </c>
      <c r="N1509">
        <v>155</v>
      </c>
      <c r="P1509">
        <v>32</v>
      </c>
      <c r="Q1509">
        <v>123</v>
      </c>
      <c r="R1509" t="s">
        <v>7331</v>
      </c>
      <c r="S1509">
        <v>0</v>
      </c>
    </row>
    <row r="1510" spans="1:19">
      <c r="A1510" t="s">
        <v>7334</v>
      </c>
      <c r="B1510">
        <v>103</v>
      </c>
      <c r="C1510" t="s">
        <v>7328</v>
      </c>
      <c r="D1510" t="s">
        <v>7945</v>
      </c>
      <c r="E1510" t="s">
        <v>12040</v>
      </c>
      <c r="F1510" t="s">
        <v>7302</v>
      </c>
      <c r="G1510">
        <v>-1.25</v>
      </c>
      <c r="H1510">
        <v>-1.25</v>
      </c>
      <c r="L1510" t="s">
        <v>7330</v>
      </c>
      <c r="M1510" t="s">
        <v>7330</v>
      </c>
      <c r="P1510">
        <v>0</v>
      </c>
      <c r="R1510" t="s">
        <v>7331</v>
      </c>
      <c r="S1510">
        <v>0</v>
      </c>
    </row>
    <row r="1511" spans="1:19">
      <c r="A1511" t="s">
        <v>7334</v>
      </c>
      <c r="B1511">
        <v>103</v>
      </c>
      <c r="C1511" t="s">
        <v>7328</v>
      </c>
      <c r="D1511" t="s">
        <v>7945</v>
      </c>
      <c r="E1511" t="s">
        <v>7949</v>
      </c>
      <c r="F1511" t="s">
        <v>7302</v>
      </c>
      <c r="G1511">
        <v>-1.5</v>
      </c>
      <c r="H1511">
        <v>-1.5</v>
      </c>
      <c r="L1511" t="s">
        <v>7330</v>
      </c>
      <c r="M1511" t="s">
        <v>7330</v>
      </c>
      <c r="N1511">
        <v>23</v>
      </c>
      <c r="P1511">
        <v>0</v>
      </c>
      <c r="Q1511">
        <v>23</v>
      </c>
      <c r="R1511" t="s">
        <v>7331</v>
      </c>
      <c r="S1511">
        <v>0</v>
      </c>
    </row>
    <row r="1512" spans="1:19">
      <c r="A1512" t="s">
        <v>7334</v>
      </c>
      <c r="B1512">
        <v>103</v>
      </c>
      <c r="C1512" t="s">
        <v>7328</v>
      </c>
      <c r="D1512" t="s">
        <v>7945</v>
      </c>
      <c r="E1512" t="s">
        <v>7950</v>
      </c>
      <c r="F1512" t="s">
        <v>7302</v>
      </c>
      <c r="G1512">
        <v>-2</v>
      </c>
      <c r="H1512">
        <v>-2</v>
      </c>
      <c r="L1512" t="s">
        <v>7330</v>
      </c>
      <c r="M1512" t="s">
        <v>7330</v>
      </c>
      <c r="N1512">
        <v>4</v>
      </c>
      <c r="P1512">
        <v>0</v>
      </c>
      <c r="Q1512">
        <v>4</v>
      </c>
      <c r="R1512" t="s">
        <v>7331</v>
      </c>
      <c r="S1512">
        <v>0</v>
      </c>
    </row>
    <row r="1513" spans="1:19">
      <c r="A1513" t="s">
        <v>7334</v>
      </c>
      <c r="B1513">
        <v>103</v>
      </c>
      <c r="C1513" t="s">
        <v>7328</v>
      </c>
      <c r="D1513" t="s">
        <v>7945</v>
      </c>
      <c r="E1513" t="s">
        <v>7951</v>
      </c>
      <c r="F1513" t="s">
        <v>7302</v>
      </c>
      <c r="G1513">
        <v>-2.25</v>
      </c>
      <c r="H1513">
        <v>-2.25</v>
      </c>
      <c r="L1513" t="s">
        <v>7330</v>
      </c>
      <c r="M1513" t="s">
        <v>7330</v>
      </c>
      <c r="N1513" s="501">
        <v>2</v>
      </c>
      <c r="P1513">
        <v>0</v>
      </c>
      <c r="Q1513">
        <v>2</v>
      </c>
      <c r="R1513" t="s">
        <v>7331</v>
      </c>
      <c r="S1513">
        <v>0</v>
      </c>
    </row>
    <row r="1514" spans="1:19">
      <c r="A1514" t="s">
        <v>7334</v>
      </c>
      <c r="B1514">
        <v>103</v>
      </c>
      <c r="C1514" t="s">
        <v>7328</v>
      </c>
      <c r="D1514" t="s">
        <v>7945</v>
      </c>
      <c r="E1514" t="s">
        <v>7952</v>
      </c>
      <c r="F1514" t="s">
        <v>7302</v>
      </c>
      <c r="G1514">
        <v>-2.5</v>
      </c>
      <c r="H1514">
        <v>-2.5</v>
      </c>
      <c r="L1514" t="s">
        <v>7330</v>
      </c>
      <c r="M1514" t="s">
        <v>7330</v>
      </c>
      <c r="N1514" s="501">
        <v>49</v>
      </c>
      <c r="P1514">
        <v>0</v>
      </c>
      <c r="Q1514">
        <v>49</v>
      </c>
      <c r="R1514" t="s">
        <v>7331</v>
      </c>
      <c r="S1514">
        <v>0</v>
      </c>
    </row>
    <row r="1515" spans="1:19">
      <c r="A1515" t="s">
        <v>7334</v>
      </c>
      <c r="B1515">
        <v>103</v>
      </c>
      <c r="C1515" t="s">
        <v>7328</v>
      </c>
      <c r="D1515" t="s">
        <v>7945</v>
      </c>
      <c r="E1515" t="s">
        <v>7953</v>
      </c>
      <c r="F1515" t="s">
        <v>7302</v>
      </c>
      <c r="G1515">
        <v>-2.75</v>
      </c>
      <c r="H1515">
        <v>-2.75</v>
      </c>
      <c r="L1515" t="s">
        <v>7330</v>
      </c>
      <c r="M1515" t="s">
        <v>7330</v>
      </c>
      <c r="N1515" s="501">
        <v>93</v>
      </c>
      <c r="P1515">
        <v>40</v>
      </c>
      <c r="Q1515" s="501">
        <v>53</v>
      </c>
      <c r="R1515" t="s">
        <v>7331</v>
      </c>
      <c r="S1515">
        <v>0</v>
      </c>
    </row>
    <row r="1516" spans="1:19">
      <c r="A1516" t="s">
        <v>7334</v>
      </c>
      <c r="B1516">
        <v>103</v>
      </c>
      <c r="C1516" t="s">
        <v>7328</v>
      </c>
      <c r="D1516" t="s">
        <v>7945</v>
      </c>
      <c r="E1516" t="s">
        <v>7954</v>
      </c>
      <c r="F1516" t="s">
        <v>7302</v>
      </c>
      <c r="G1516">
        <v>-3.25</v>
      </c>
      <c r="H1516">
        <v>-3.25</v>
      </c>
      <c r="L1516" t="s">
        <v>7330</v>
      </c>
      <c r="M1516" t="s">
        <v>7330</v>
      </c>
      <c r="N1516" s="501">
        <v>16</v>
      </c>
      <c r="P1516">
        <v>0</v>
      </c>
      <c r="Q1516" s="501">
        <v>16</v>
      </c>
      <c r="R1516" t="s">
        <v>7331</v>
      </c>
      <c r="S1516">
        <v>0</v>
      </c>
    </row>
    <row r="1517" spans="1:19">
      <c r="A1517" t="s">
        <v>7334</v>
      </c>
      <c r="B1517">
        <v>103</v>
      </c>
      <c r="C1517" t="s">
        <v>7328</v>
      </c>
      <c r="D1517" t="s">
        <v>7945</v>
      </c>
      <c r="E1517" t="s">
        <v>7955</v>
      </c>
      <c r="F1517" t="s">
        <v>7302</v>
      </c>
      <c r="G1517">
        <v>-4</v>
      </c>
      <c r="H1517">
        <v>-4</v>
      </c>
      <c r="L1517" t="s">
        <v>7330</v>
      </c>
      <c r="M1517" t="s">
        <v>7330</v>
      </c>
      <c r="N1517" s="501">
        <v>5</v>
      </c>
      <c r="P1517">
        <v>0</v>
      </c>
      <c r="Q1517" s="501">
        <v>5</v>
      </c>
      <c r="R1517" t="s">
        <v>7331</v>
      </c>
      <c r="S1517">
        <v>0</v>
      </c>
    </row>
    <row r="1518" spans="1:19">
      <c r="A1518" t="s">
        <v>7334</v>
      </c>
      <c r="B1518">
        <v>103</v>
      </c>
      <c r="C1518" t="s">
        <v>7328</v>
      </c>
      <c r="D1518" t="s">
        <v>7945</v>
      </c>
      <c r="E1518" t="s">
        <v>7956</v>
      </c>
      <c r="F1518" t="s">
        <v>7302</v>
      </c>
      <c r="G1518">
        <v>-4.25</v>
      </c>
      <c r="H1518">
        <v>-4.25</v>
      </c>
      <c r="L1518" t="s">
        <v>7330</v>
      </c>
      <c r="M1518" t="s">
        <v>7330</v>
      </c>
      <c r="N1518" s="501">
        <v>309</v>
      </c>
      <c r="P1518">
        <v>32</v>
      </c>
      <c r="Q1518" s="501">
        <v>277</v>
      </c>
      <c r="R1518" t="s">
        <v>7331</v>
      </c>
      <c r="S1518">
        <v>0</v>
      </c>
    </row>
    <row r="1519" spans="1:19">
      <c r="A1519" t="s">
        <v>7334</v>
      </c>
      <c r="B1519">
        <v>103</v>
      </c>
      <c r="C1519" t="s">
        <v>7328</v>
      </c>
      <c r="D1519" t="s">
        <v>7945</v>
      </c>
      <c r="E1519" t="s">
        <v>7957</v>
      </c>
      <c r="F1519" t="s">
        <v>7302</v>
      </c>
      <c r="G1519">
        <v>-4.5</v>
      </c>
      <c r="H1519">
        <v>-4.5</v>
      </c>
      <c r="L1519" t="s">
        <v>7330</v>
      </c>
      <c r="M1519" t="s">
        <v>7330</v>
      </c>
      <c r="N1519" s="501">
        <v>77</v>
      </c>
      <c r="P1519">
        <v>27</v>
      </c>
      <c r="Q1519" s="501">
        <v>50</v>
      </c>
      <c r="R1519" t="s">
        <v>7331</v>
      </c>
      <c r="S1519">
        <v>0</v>
      </c>
    </row>
    <row r="1520" spans="1:19">
      <c r="A1520" t="s">
        <v>7334</v>
      </c>
      <c r="B1520">
        <v>103</v>
      </c>
      <c r="C1520" t="s">
        <v>7328</v>
      </c>
      <c r="D1520" t="s">
        <v>7945</v>
      </c>
      <c r="E1520" t="s">
        <v>7958</v>
      </c>
      <c r="F1520" t="s">
        <v>7302</v>
      </c>
      <c r="G1520">
        <v>-5</v>
      </c>
      <c r="H1520">
        <v>-5</v>
      </c>
      <c r="L1520" t="s">
        <v>7330</v>
      </c>
      <c r="M1520" t="s">
        <v>7330</v>
      </c>
      <c r="N1520">
        <v>2</v>
      </c>
      <c r="P1520">
        <v>0</v>
      </c>
      <c r="Q1520">
        <v>2</v>
      </c>
      <c r="R1520" t="s">
        <v>7331</v>
      </c>
      <c r="S1520">
        <v>0</v>
      </c>
    </row>
    <row r="1521" spans="1:19">
      <c r="A1521" t="s">
        <v>7334</v>
      </c>
      <c r="B1521">
        <v>103</v>
      </c>
      <c r="C1521" t="s">
        <v>7328</v>
      </c>
      <c r="D1521" t="s">
        <v>7945</v>
      </c>
      <c r="E1521" t="s">
        <v>7959</v>
      </c>
      <c r="F1521" t="s">
        <v>7302</v>
      </c>
      <c r="G1521">
        <v>-7</v>
      </c>
      <c r="H1521">
        <v>-7</v>
      </c>
      <c r="L1521" t="s">
        <v>7330</v>
      </c>
      <c r="M1521" t="s">
        <v>7330</v>
      </c>
      <c r="N1521" s="501">
        <v>6</v>
      </c>
      <c r="P1521">
        <v>0</v>
      </c>
      <c r="Q1521">
        <v>6</v>
      </c>
      <c r="R1521" t="s">
        <v>7331</v>
      </c>
      <c r="S1521">
        <v>0</v>
      </c>
    </row>
    <row r="1522" spans="1:19">
      <c r="A1522" t="s">
        <v>7334</v>
      </c>
      <c r="B1522">
        <v>103</v>
      </c>
      <c r="C1522" t="s">
        <v>7328</v>
      </c>
      <c r="D1522" t="s">
        <v>7945</v>
      </c>
      <c r="E1522" t="s">
        <v>7960</v>
      </c>
      <c r="F1522" t="s">
        <v>7302</v>
      </c>
      <c r="G1522">
        <v>-7.5</v>
      </c>
      <c r="H1522">
        <v>-7.5</v>
      </c>
      <c r="L1522" t="s">
        <v>7330</v>
      </c>
      <c r="M1522" t="s">
        <v>7330</v>
      </c>
      <c r="N1522">
        <v>9</v>
      </c>
      <c r="P1522">
        <v>0</v>
      </c>
      <c r="Q1522">
        <v>9</v>
      </c>
      <c r="R1522" t="s">
        <v>7331</v>
      </c>
      <c r="S1522">
        <v>0</v>
      </c>
    </row>
    <row r="1523" spans="1:19">
      <c r="A1523" t="s">
        <v>7334</v>
      </c>
      <c r="B1523">
        <v>103</v>
      </c>
      <c r="C1523" t="s">
        <v>7328</v>
      </c>
      <c r="D1523" t="s">
        <v>7396</v>
      </c>
      <c r="E1523" t="s">
        <v>8163</v>
      </c>
      <c r="F1523" t="s">
        <v>7306</v>
      </c>
      <c r="G1523">
        <v>-0.5</v>
      </c>
      <c r="H1523">
        <v>-0.5</v>
      </c>
      <c r="L1523" t="s">
        <v>7330</v>
      </c>
      <c r="M1523" t="s">
        <v>7330</v>
      </c>
      <c r="N1523" s="501">
        <v>752</v>
      </c>
      <c r="P1523">
        <v>402</v>
      </c>
      <c r="Q1523">
        <v>350</v>
      </c>
      <c r="R1523" t="s">
        <v>7332</v>
      </c>
      <c r="S1523">
        <v>0</v>
      </c>
    </row>
    <row r="1524" spans="1:19">
      <c r="A1524" t="s">
        <v>7334</v>
      </c>
      <c r="B1524">
        <v>103</v>
      </c>
      <c r="C1524" t="s">
        <v>7328</v>
      </c>
      <c r="D1524" t="s">
        <v>7396</v>
      </c>
      <c r="E1524" t="s">
        <v>8164</v>
      </c>
      <c r="F1524" t="s">
        <v>7306</v>
      </c>
      <c r="G1524">
        <v>-0.75</v>
      </c>
      <c r="H1524">
        <v>-0.75</v>
      </c>
      <c r="L1524" t="s">
        <v>7330</v>
      </c>
      <c r="M1524" t="s">
        <v>7330</v>
      </c>
      <c r="N1524" s="501">
        <v>534</v>
      </c>
      <c r="P1524">
        <v>402</v>
      </c>
      <c r="Q1524">
        <v>132</v>
      </c>
      <c r="R1524" t="s">
        <v>7332</v>
      </c>
      <c r="S1524">
        <v>0</v>
      </c>
    </row>
    <row r="1525" spans="1:19">
      <c r="A1525" t="s">
        <v>7334</v>
      </c>
      <c r="B1525">
        <v>103</v>
      </c>
      <c r="C1525" t="s">
        <v>7328</v>
      </c>
      <c r="D1525" t="s">
        <v>7396</v>
      </c>
      <c r="E1525" t="s">
        <v>8165</v>
      </c>
      <c r="F1525" t="s">
        <v>7306</v>
      </c>
      <c r="G1525">
        <v>-1</v>
      </c>
      <c r="H1525">
        <v>-1</v>
      </c>
      <c r="L1525" t="s">
        <v>7330</v>
      </c>
      <c r="M1525" t="s">
        <v>7330</v>
      </c>
      <c r="N1525">
        <v>889</v>
      </c>
      <c r="P1525">
        <v>402</v>
      </c>
      <c r="Q1525">
        <v>487</v>
      </c>
      <c r="R1525" t="s">
        <v>7332</v>
      </c>
      <c r="S1525">
        <v>0</v>
      </c>
    </row>
    <row r="1526" spans="1:19">
      <c r="A1526" t="s">
        <v>7334</v>
      </c>
      <c r="B1526">
        <v>103</v>
      </c>
      <c r="C1526" t="s">
        <v>7328</v>
      </c>
      <c r="D1526" t="s">
        <v>7396</v>
      </c>
      <c r="E1526" t="s">
        <v>8166</v>
      </c>
      <c r="F1526" t="s">
        <v>7306</v>
      </c>
      <c r="G1526">
        <v>-1.25</v>
      </c>
      <c r="H1526">
        <v>-1.25</v>
      </c>
      <c r="L1526" t="s">
        <v>7330</v>
      </c>
      <c r="M1526" t="s">
        <v>7330</v>
      </c>
      <c r="N1526">
        <v>809</v>
      </c>
      <c r="P1526">
        <v>402</v>
      </c>
      <c r="Q1526">
        <v>407</v>
      </c>
      <c r="R1526" t="s">
        <v>7332</v>
      </c>
      <c r="S1526">
        <v>0</v>
      </c>
    </row>
    <row r="1527" spans="1:19">
      <c r="A1527" t="s">
        <v>7334</v>
      </c>
      <c r="B1527">
        <v>103</v>
      </c>
      <c r="C1527" t="s">
        <v>7328</v>
      </c>
      <c r="D1527" t="s">
        <v>7396</v>
      </c>
      <c r="E1527" t="s">
        <v>8167</v>
      </c>
      <c r="F1527" t="s">
        <v>7306</v>
      </c>
      <c r="G1527">
        <v>-1.5</v>
      </c>
      <c r="H1527">
        <v>-1.5</v>
      </c>
      <c r="L1527" t="s">
        <v>7330</v>
      </c>
      <c r="M1527" t="s">
        <v>7330</v>
      </c>
      <c r="N1527">
        <v>882</v>
      </c>
      <c r="P1527">
        <v>402</v>
      </c>
      <c r="Q1527">
        <v>480</v>
      </c>
      <c r="R1527" t="s">
        <v>7332</v>
      </c>
      <c r="S1527">
        <v>0</v>
      </c>
    </row>
    <row r="1528" spans="1:19">
      <c r="A1528" t="s">
        <v>7334</v>
      </c>
      <c r="B1528">
        <v>103</v>
      </c>
      <c r="C1528" t="s">
        <v>7328</v>
      </c>
      <c r="D1528" t="s">
        <v>7396</v>
      </c>
      <c r="E1528" t="s">
        <v>8168</v>
      </c>
      <c r="F1528" t="s">
        <v>7306</v>
      </c>
      <c r="G1528">
        <v>-1.75</v>
      </c>
      <c r="H1528">
        <v>-1.75</v>
      </c>
      <c r="L1528" t="s">
        <v>7330</v>
      </c>
      <c r="M1528" t="s">
        <v>7330</v>
      </c>
      <c r="N1528">
        <v>768</v>
      </c>
      <c r="P1528">
        <v>402</v>
      </c>
      <c r="Q1528">
        <v>366</v>
      </c>
      <c r="R1528" t="s">
        <v>7332</v>
      </c>
      <c r="S1528">
        <v>0</v>
      </c>
    </row>
    <row r="1529" spans="1:19">
      <c r="A1529" t="s">
        <v>7334</v>
      </c>
      <c r="B1529">
        <v>103</v>
      </c>
      <c r="C1529" t="s">
        <v>7328</v>
      </c>
      <c r="D1529" t="s">
        <v>7396</v>
      </c>
      <c r="E1529" t="s">
        <v>8169</v>
      </c>
      <c r="F1529" t="s">
        <v>7306</v>
      </c>
      <c r="G1529">
        <v>-2</v>
      </c>
      <c r="H1529">
        <v>-2</v>
      </c>
      <c r="L1529" t="s">
        <v>7330</v>
      </c>
      <c r="M1529" t="s">
        <v>7330</v>
      </c>
      <c r="N1529">
        <v>841</v>
      </c>
      <c r="P1529">
        <v>402</v>
      </c>
      <c r="Q1529">
        <v>439</v>
      </c>
      <c r="R1529" t="s">
        <v>7332</v>
      </c>
      <c r="S1529">
        <v>0</v>
      </c>
    </row>
    <row r="1530" spans="1:19">
      <c r="A1530" t="s">
        <v>7334</v>
      </c>
      <c r="B1530">
        <v>103</v>
      </c>
      <c r="C1530" t="s">
        <v>7328</v>
      </c>
      <c r="D1530" t="s">
        <v>7396</v>
      </c>
      <c r="E1530" t="s">
        <v>8170</v>
      </c>
      <c r="F1530" t="s">
        <v>7306</v>
      </c>
      <c r="G1530">
        <v>-2.25</v>
      </c>
      <c r="H1530">
        <v>-2.25</v>
      </c>
      <c r="L1530" t="s">
        <v>7330</v>
      </c>
      <c r="M1530" t="s">
        <v>7330</v>
      </c>
      <c r="N1530">
        <v>627</v>
      </c>
      <c r="P1530">
        <v>402</v>
      </c>
      <c r="Q1530">
        <v>225</v>
      </c>
      <c r="R1530" t="s">
        <v>7332</v>
      </c>
      <c r="S1530">
        <v>0</v>
      </c>
    </row>
    <row r="1531" spans="1:19">
      <c r="A1531" t="s">
        <v>7334</v>
      </c>
      <c r="B1531">
        <v>103</v>
      </c>
      <c r="C1531" t="s">
        <v>7328</v>
      </c>
      <c r="D1531" t="s">
        <v>7396</v>
      </c>
      <c r="E1531" t="s">
        <v>8546</v>
      </c>
      <c r="F1531" t="s">
        <v>7306</v>
      </c>
      <c r="G1531">
        <v>-2.5</v>
      </c>
      <c r="H1531">
        <v>-2.5</v>
      </c>
      <c r="L1531" t="s">
        <v>7330</v>
      </c>
      <c r="M1531" t="s">
        <v>7330</v>
      </c>
      <c r="N1531">
        <v>752</v>
      </c>
      <c r="P1531">
        <v>402</v>
      </c>
      <c r="Q1531">
        <v>350</v>
      </c>
      <c r="R1531" t="s">
        <v>7332</v>
      </c>
      <c r="S1531">
        <v>0</v>
      </c>
    </row>
    <row r="1532" spans="1:19">
      <c r="A1532" t="s">
        <v>7334</v>
      </c>
      <c r="B1532">
        <v>103</v>
      </c>
      <c r="C1532" t="s">
        <v>7328</v>
      </c>
      <c r="D1532" t="s">
        <v>7396</v>
      </c>
      <c r="E1532" t="s">
        <v>8547</v>
      </c>
      <c r="F1532" t="s">
        <v>7306</v>
      </c>
      <c r="G1532">
        <v>-2.75</v>
      </c>
      <c r="H1532">
        <v>-2.75</v>
      </c>
      <c r="L1532" t="s">
        <v>7330</v>
      </c>
      <c r="M1532" t="s">
        <v>7330</v>
      </c>
      <c r="N1532">
        <v>781</v>
      </c>
      <c r="P1532">
        <v>402</v>
      </c>
      <c r="Q1532">
        <v>379</v>
      </c>
      <c r="R1532" t="s">
        <v>7332</v>
      </c>
      <c r="S1532">
        <v>0</v>
      </c>
    </row>
    <row r="1533" spans="1:19">
      <c r="A1533" t="s">
        <v>7334</v>
      </c>
      <c r="B1533">
        <v>103</v>
      </c>
      <c r="C1533" t="s">
        <v>7328</v>
      </c>
      <c r="D1533" t="s">
        <v>7396</v>
      </c>
      <c r="E1533" t="s">
        <v>8548</v>
      </c>
      <c r="F1533" t="s">
        <v>7306</v>
      </c>
      <c r="G1533">
        <v>-3</v>
      </c>
      <c r="H1533">
        <v>-3</v>
      </c>
      <c r="L1533" t="s">
        <v>7330</v>
      </c>
      <c r="M1533" t="s">
        <v>7330</v>
      </c>
      <c r="N1533">
        <v>530</v>
      </c>
      <c r="P1533">
        <v>400</v>
      </c>
      <c r="Q1533">
        <v>130</v>
      </c>
      <c r="R1533" t="s">
        <v>7332</v>
      </c>
      <c r="S1533">
        <v>0</v>
      </c>
    </row>
    <row r="1534" spans="1:19">
      <c r="A1534" t="s">
        <v>7334</v>
      </c>
      <c r="B1534">
        <v>103</v>
      </c>
      <c r="C1534" t="s">
        <v>7328</v>
      </c>
      <c r="D1534" t="s">
        <v>7396</v>
      </c>
      <c r="E1534" t="s">
        <v>8558</v>
      </c>
      <c r="F1534" t="s">
        <v>7306</v>
      </c>
      <c r="G1534">
        <v>-3.25</v>
      </c>
      <c r="H1534">
        <v>-3.25</v>
      </c>
      <c r="L1534" t="s">
        <v>7330</v>
      </c>
      <c r="M1534" t="s">
        <v>7330</v>
      </c>
      <c r="N1534">
        <v>512</v>
      </c>
      <c r="P1534">
        <v>402</v>
      </c>
      <c r="Q1534">
        <v>110</v>
      </c>
      <c r="R1534" t="s">
        <v>7332</v>
      </c>
      <c r="S1534">
        <v>0</v>
      </c>
    </row>
    <row r="1535" spans="1:19">
      <c r="A1535" t="s">
        <v>7334</v>
      </c>
      <c r="B1535">
        <v>103</v>
      </c>
      <c r="C1535" t="s">
        <v>7328</v>
      </c>
      <c r="D1535" t="s">
        <v>7396</v>
      </c>
      <c r="E1535" t="s">
        <v>8559</v>
      </c>
      <c r="F1535" t="s">
        <v>7306</v>
      </c>
      <c r="G1535">
        <v>-3.5</v>
      </c>
      <c r="H1535">
        <v>-3.5</v>
      </c>
      <c r="L1535" t="s">
        <v>7330</v>
      </c>
      <c r="M1535" t="s">
        <v>7330</v>
      </c>
      <c r="N1535">
        <v>811</v>
      </c>
      <c r="P1535">
        <v>402</v>
      </c>
      <c r="Q1535">
        <v>409</v>
      </c>
      <c r="R1535" t="s">
        <v>7332</v>
      </c>
      <c r="S1535">
        <v>0</v>
      </c>
    </row>
    <row r="1536" spans="1:19">
      <c r="A1536" t="s">
        <v>7334</v>
      </c>
      <c r="B1536">
        <v>103</v>
      </c>
      <c r="C1536" t="s">
        <v>7328</v>
      </c>
      <c r="D1536" t="s">
        <v>7396</v>
      </c>
      <c r="E1536" t="s">
        <v>8549</v>
      </c>
      <c r="F1536" t="s">
        <v>7306</v>
      </c>
      <c r="G1536">
        <v>-3.75</v>
      </c>
      <c r="H1536">
        <v>-3.75</v>
      </c>
      <c r="L1536" t="s">
        <v>7330</v>
      </c>
      <c r="M1536" t="s">
        <v>7330</v>
      </c>
      <c r="N1536">
        <v>653</v>
      </c>
      <c r="P1536">
        <v>402</v>
      </c>
      <c r="Q1536">
        <v>251</v>
      </c>
      <c r="R1536" t="s">
        <v>7332</v>
      </c>
      <c r="S1536">
        <v>0</v>
      </c>
    </row>
    <row r="1537" spans="1:19">
      <c r="A1537" t="s">
        <v>7334</v>
      </c>
      <c r="B1537">
        <v>103</v>
      </c>
      <c r="C1537" t="s">
        <v>7328</v>
      </c>
      <c r="D1537" t="s">
        <v>7396</v>
      </c>
      <c r="E1537" t="s">
        <v>8550</v>
      </c>
      <c r="F1537" t="s">
        <v>7306</v>
      </c>
      <c r="G1537">
        <v>-4</v>
      </c>
      <c r="H1537">
        <v>-4</v>
      </c>
      <c r="L1537" t="s">
        <v>7330</v>
      </c>
      <c r="M1537" t="s">
        <v>7330</v>
      </c>
      <c r="N1537">
        <v>768</v>
      </c>
      <c r="P1537">
        <v>402</v>
      </c>
      <c r="Q1537">
        <v>366</v>
      </c>
      <c r="R1537" t="s">
        <v>7332</v>
      </c>
      <c r="S1537">
        <v>0</v>
      </c>
    </row>
    <row r="1538" spans="1:19">
      <c r="A1538" t="s">
        <v>7334</v>
      </c>
      <c r="B1538">
        <v>103</v>
      </c>
      <c r="C1538" t="s">
        <v>7328</v>
      </c>
      <c r="D1538" t="s">
        <v>7396</v>
      </c>
      <c r="E1538" t="s">
        <v>8551</v>
      </c>
      <c r="F1538" t="s">
        <v>7306</v>
      </c>
      <c r="G1538">
        <v>-4.25</v>
      </c>
      <c r="H1538">
        <v>-4.25</v>
      </c>
      <c r="L1538" t="s">
        <v>7330</v>
      </c>
      <c r="M1538" t="s">
        <v>7330</v>
      </c>
      <c r="N1538">
        <v>767</v>
      </c>
      <c r="P1538">
        <v>402</v>
      </c>
      <c r="Q1538">
        <v>365</v>
      </c>
      <c r="R1538" t="s">
        <v>7332</v>
      </c>
      <c r="S1538">
        <v>0</v>
      </c>
    </row>
    <row r="1539" spans="1:19">
      <c r="A1539" t="s">
        <v>7334</v>
      </c>
      <c r="B1539">
        <v>103</v>
      </c>
      <c r="C1539" t="s">
        <v>7328</v>
      </c>
      <c r="D1539" t="s">
        <v>7396</v>
      </c>
      <c r="E1539" t="s">
        <v>8552</v>
      </c>
      <c r="F1539" t="s">
        <v>7306</v>
      </c>
      <c r="G1539">
        <v>-4.5</v>
      </c>
      <c r="H1539">
        <v>-4.5</v>
      </c>
      <c r="L1539" t="s">
        <v>7330</v>
      </c>
      <c r="M1539" t="s">
        <v>7330</v>
      </c>
      <c r="N1539" s="501">
        <v>1099</v>
      </c>
      <c r="P1539">
        <v>671</v>
      </c>
      <c r="Q1539">
        <v>428</v>
      </c>
      <c r="R1539" t="s">
        <v>7332</v>
      </c>
      <c r="S1539">
        <v>0</v>
      </c>
    </row>
    <row r="1540" spans="1:19">
      <c r="A1540" t="s">
        <v>7334</v>
      </c>
      <c r="B1540">
        <v>103</v>
      </c>
      <c r="C1540" t="s">
        <v>7328</v>
      </c>
      <c r="D1540" t="s">
        <v>7396</v>
      </c>
      <c r="E1540" t="s">
        <v>8553</v>
      </c>
      <c r="F1540" t="s">
        <v>7306</v>
      </c>
      <c r="G1540">
        <v>-4.75</v>
      </c>
      <c r="H1540">
        <v>-4.75</v>
      </c>
      <c r="L1540" t="s">
        <v>7330</v>
      </c>
      <c r="M1540" t="s">
        <v>7330</v>
      </c>
      <c r="N1540">
        <v>924</v>
      </c>
      <c r="P1540">
        <v>670</v>
      </c>
      <c r="Q1540">
        <v>254</v>
      </c>
      <c r="R1540" t="s">
        <v>7332</v>
      </c>
      <c r="S1540">
        <v>0</v>
      </c>
    </row>
    <row r="1541" spans="1:19">
      <c r="A1541" t="s">
        <v>7334</v>
      </c>
      <c r="B1541">
        <v>103</v>
      </c>
      <c r="C1541" t="s">
        <v>7328</v>
      </c>
      <c r="D1541" t="s">
        <v>7396</v>
      </c>
      <c r="E1541" t="s">
        <v>8554</v>
      </c>
      <c r="F1541" t="s">
        <v>7306</v>
      </c>
      <c r="G1541">
        <v>-5</v>
      </c>
      <c r="H1541">
        <v>-5</v>
      </c>
      <c r="L1541" t="s">
        <v>7330</v>
      </c>
      <c r="M1541" t="s">
        <v>7330</v>
      </c>
      <c r="N1541" s="501">
        <v>1279</v>
      </c>
      <c r="P1541">
        <v>671</v>
      </c>
      <c r="Q1541">
        <v>608</v>
      </c>
      <c r="R1541" t="s">
        <v>7332</v>
      </c>
      <c r="S1541">
        <v>0</v>
      </c>
    </row>
    <row r="1542" spans="1:19">
      <c r="A1542" t="s">
        <v>7334</v>
      </c>
      <c r="B1542">
        <v>103</v>
      </c>
      <c r="C1542" t="s">
        <v>7328</v>
      </c>
      <c r="D1542" t="s">
        <v>7396</v>
      </c>
      <c r="E1542" t="s">
        <v>8555</v>
      </c>
      <c r="F1542" t="s">
        <v>7306</v>
      </c>
      <c r="G1542">
        <v>-5.5</v>
      </c>
      <c r="H1542">
        <v>-5.5</v>
      </c>
      <c r="L1542" t="s">
        <v>7330</v>
      </c>
      <c r="M1542" t="s">
        <v>7330</v>
      </c>
      <c r="N1542" s="501">
        <v>1504</v>
      </c>
      <c r="P1542">
        <v>668</v>
      </c>
      <c r="Q1542">
        <v>836</v>
      </c>
      <c r="R1542" t="s">
        <v>7332</v>
      </c>
      <c r="S1542">
        <v>0</v>
      </c>
    </row>
    <row r="1543" spans="1:19">
      <c r="A1543" t="s">
        <v>7334</v>
      </c>
      <c r="B1543">
        <v>103</v>
      </c>
      <c r="C1543" t="s">
        <v>7328</v>
      </c>
      <c r="D1543" t="s">
        <v>7396</v>
      </c>
      <c r="E1543" t="s">
        <v>8556</v>
      </c>
      <c r="F1543" t="s">
        <v>7306</v>
      </c>
      <c r="G1543">
        <v>-6</v>
      </c>
      <c r="H1543">
        <v>-6</v>
      </c>
      <c r="L1543" t="s">
        <v>7330</v>
      </c>
      <c r="M1543" t="s">
        <v>7330</v>
      </c>
      <c r="N1543">
        <v>709</v>
      </c>
      <c r="P1543">
        <v>402</v>
      </c>
      <c r="Q1543">
        <v>307</v>
      </c>
      <c r="R1543" t="s">
        <v>7332</v>
      </c>
      <c r="S1543">
        <v>0</v>
      </c>
    </row>
    <row r="1544" spans="1:19">
      <c r="A1544" t="s">
        <v>7334</v>
      </c>
      <c r="B1544">
        <v>103</v>
      </c>
      <c r="C1544" t="s">
        <v>7328</v>
      </c>
      <c r="D1544" t="s">
        <v>7396</v>
      </c>
      <c r="E1544" t="s">
        <v>8557</v>
      </c>
      <c r="F1544" t="s">
        <v>7306</v>
      </c>
      <c r="G1544">
        <v>-6.5</v>
      </c>
      <c r="H1544">
        <v>-6.5</v>
      </c>
      <c r="L1544" t="s">
        <v>7330</v>
      </c>
      <c r="M1544" t="s">
        <v>7330</v>
      </c>
      <c r="N1544">
        <v>561</v>
      </c>
      <c r="P1544">
        <v>402</v>
      </c>
      <c r="Q1544">
        <v>159</v>
      </c>
      <c r="R1544" t="s">
        <v>7332</v>
      </c>
      <c r="S1544">
        <v>0</v>
      </c>
    </row>
    <row r="1545" spans="1:19">
      <c r="A1545" t="s">
        <v>7334</v>
      </c>
      <c r="B1545">
        <v>103</v>
      </c>
      <c r="C1545" t="s">
        <v>7328</v>
      </c>
      <c r="D1545" t="s">
        <v>7396</v>
      </c>
      <c r="E1545" t="s">
        <v>8171</v>
      </c>
      <c r="F1545" t="s">
        <v>7306</v>
      </c>
      <c r="G1545">
        <v>-7</v>
      </c>
      <c r="H1545">
        <v>-7</v>
      </c>
      <c r="L1545" t="s">
        <v>7330</v>
      </c>
      <c r="M1545" t="s">
        <v>7330</v>
      </c>
      <c r="N1545">
        <v>758</v>
      </c>
      <c r="P1545">
        <v>402</v>
      </c>
      <c r="Q1545">
        <v>356</v>
      </c>
      <c r="R1545" t="s">
        <v>7332</v>
      </c>
      <c r="S1545">
        <v>0</v>
      </c>
    </row>
    <row r="1546" spans="1:19">
      <c r="A1546" t="s">
        <v>7334</v>
      </c>
      <c r="B1546">
        <v>103</v>
      </c>
      <c r="C1546" t="s">
        <v>7328</v>
      </c>
      <c r="D1546" t="s">
        <v>7396</v>
      </c>
      <c r="E1546" t="s">
        <v>7397</v>
      </c>
      <c r="F1546" t="s">
        <v>7306</v>
      </c>
      <c r="G1546">
        <v>-7.5</v>
      </c>
      <c r="H1546">
        <v>-7.5</v>
      </c>
      <c r="L1546" t="s">
        <v>7330</v>
      </c>
      <c r="M1546" t="s">
        <v>7330</v>
      </c>
      <c r="N1546">
        <v>565</v>
      </c>
      <c r="P1546">
        <v>85</v>
      </c>
      <c r="Q1546">
        <v>480</v>
      </c>
      <c r="R1546" t="s">
        <v>7332</v>
      </c>
      <c r="S1546">
        <v>0</v>
      </c>
    </row>
    <row r="1547" spans="1:19">
      <c r="A1547" t="s">
        <v>7334</v>
      </c>
      <c r="B1547">
        <v>103</v>
      </c>
      <c r="C1547" t="s">
        <v>7328</v>
      </c>
      <c r="D1547" t="s">
        <v>7396</v>
      </c>
      <c r="E1547" t="s">
        <v>7398</v>
      </c>
      <c r="F1547" t="s">
        <v>7306</v>
      </c>
      <c r="G1547">
        <v>-8</v>
      </c>
      <c r="H1547">
        <v>-8</v>
      </c>
      <c r="L1547" t="s">
        <v>7330</v>
      </c>
      <c r="M1547" t="s">
        <v>7330</v>
      </c>
      <c r="N1547">
        <v>892</v>
      </c>
      <c r="P1547">
        <v>427</v>
      </c>
      <c r="Q1547">
        <v>465</v>
      </c>
      <c r="R1547" t="s">
        <v>7332</v>
      </c>
      <c r="S1547">
        <v>0</v>
      </c>
    </row>
    <row r="1548" spans="1:19">
      <c r="A1548" t="s">
        <v>7334</v>
      </c>
      <c r="B1548">
        <v>103</v>
      </c>
      <c r="C1548" t="s">
        <v>7328</v>
      </c>
      <c r="D1548" t="s">
        <v>8560</v>
      </c>
      <c r="E1548" t="s">
        <v>8561</v>
      </c>
      <c r="F1548" t="s">
        <v>8562</v>
      </c>
      <c r="G1548" t="s">
        <v>8563</v>
      </c>
      <c r="H1548">
        <v>-1</v>
      </c>
      <c r="I1548">
        <v>-1.25</v>
      </c>
      <c r="J1548">
        <v>180</v>
      </c>
      <c r="L1548" t="s">
        <v>7330</v>
      </c>
      <c r="M1548" t="s">
        <v>7330</v>
      </c>
      <c r="N1548">
        <v>180</v>
      </c>
      <c r="P1548">
        <v>2</v>
      </c>
      <c r="Q1548">
        <v>178</v>
      </c>
      <c r="R1548" t="s">
        <v>7927</v>
      </c>
      <c r="S1548">
        <v>0</v>
      </c>
    </row>
    <row r="1549" spans="1:19">
      <c r="A1549" t="s">
        <v>7334</v>
      </c>
      <c r="B1549">
        <v>103</v>
      </c>
      <c r="C1549" t="s">
        <v>7328</v>
      </c>
      <c r="D1549" t="s">
        <v>8560</v>
      </c>
      <c r="E1549" t="s">
        <v>8564</v>
      </c>
      <c r="F1549" t="s">
        <v>8562</v>
      </c>
      <c r="G1549" t="s">
        <v>8565</v>
      </c>
      <c r="H1549">
        <v>-1</v>
      </c>
      <c r="I1549">
        <v>-1.75</v>
      </c>
      <c r="J1549">
        <v>180</v>
      </c>
      <c r="L1549" t="s">
        <v>7330</v>
      </c>
      <c r="M1549" t="s">
        <v>7330</v>
      </c>
      <c r="N1549">
        <v>115</v>
      </c>
      <c r="P1549">
        <v>2</v>
      </c>
      <c r="Q1549">
        <v>113</v>
      </c>
      <c r="R1549" t="s">
        <v>7927</v>
      </c>
      <c r="S1549">
        <v>0</v>
      </c>
    </row>
    <row r="1550" spans="1:19">
      <c r="A1550" t="s">
        <v>7334</v>
      </c>
      <c r="B1550">
        <v>103</v>
      </c>
      <c r="C1550" t="s">
        <v>7328</v>
      </c>
      <c r="D1550" t="s">
        <v>8560</v>
      </c>
      <c r="E1550" t="s">
        <v>8566</v>
      </c>
      <c r="F1550" t="s">
        <v>8562</v>
      </c>
      <c r="G1550" t="s">
        <v>8567</v>
      </c>
      <c r="H1550">
        <v>-1.25</v>
      </c>
      <c r="I1550">
        <v>-1.25</v>
      </c>
      <c r="J1550">
        <v>180</v>
      </c>
      <c r="L1550" t="s">
        <v>7330</v>
      </c>
      <c r="M1550" t="s">
        <v>7330</v>
      </c>
      <c r="N1550">
        <v>175</v>
      </c>
      <c r="P1550">
        <v>2</v>
      </c>
      <c r="Q1550">
        <v>173</v>
      </c>
      <c r="R1550" t="s">
        <v>7927</v>
      </c>
      <c r="S1550">
        <v>0</v>
      </c>
    </row>
    <row r="1551" spans="1:19">
      <c r="A1551" t="s">
        <v>7334</v>
      </c>
      <c r="B1551">
        <v>103</v>
      </c>
      <c r="C1551" t="s">
        <v>7328</v>
      </c>
      <c r="D1551" t="s">
        <v>8560</v>
      </c>
      <c r="E1551" t="s">
        <v>8568</v>
      </c>
      <c r="F1551" t="s">
        <v>8562</v>
      </c>
      <c r="G1551" t="s">
        <v>8569</v>
      </c>
      <c r="H1551">
        <v>-1.25</v>
      </c>
      <c r="I1551">
        <v>-1.75</v>
      </c>
      <c r="J1551">
        <v>180</v>
      </c>
      <c r="L1551" t="s">
        <v>7330</v>
      </c>
      <c r="M1551" t="s">
        <v>7330</v>
      </c>
      <c r="N1551">
        <v>173</v>
      </c>
      <c r="P1551">
        <v>2</v>
      </c>
      <c r="Q1551">
        <v>171</v>
      </c>
      <c r="R1551" t="s">
        <v>7927</v>
      </c>
      <c r="S1551">
        <v>0</v>
      </c>
    </row>
    <row r="1552" spans="1:19">
      <c r="A1552" t="s">
        <v>7334</v>
      </c>
      <c r="B1552">
        <v>103</v>
      </c>
      <c r="C1552" t="s">
        <v>7328</v>
      </c>
      <c r="D1552" t="s">
        <v>8560</v>
      </c>
      <c r="E1552" t="s">
        <v>8570</v>
      </c>
      <c r="F1552" t="s">
        <v>8562</v>
      </c>
      <c r="G1552" t="s">
        <v>8571</v>
      </c>
      <c r="H1552">
        <v>-1.5</v>
      </c>
      <c r="I1552">
        <v>-1.25</v>
      </c>
      <c r="J1552">
        <v>180</v>
      </c>
      <c r="L1552" t="s">
        <v>7330</v>
      </c>
      <c r="M1552" t="s">
        <v>7330</v>
      </c>
      <c r="N1552">
        <v>340</v>
      </c>
      <c r="P1552">
        <v>2</v>
      </c>
      <c r="Q1552">
        <v>338</v>
      </c>
      <c r="R1552" t="s">
        <v>7927</v>
      </c>
      <c r="S1552">
        <v>0</v>
      </c>
    </row>
    <row r="1553" spans="1:19">
      <c r="A1553" t="s">
        <v>7334</v>
      </c>
      <c r="B1553">
        <v>103</v>
      </c>
      <c r="C1553" t="s">
        <v>7328</v>
      </c>
      <c r="D1553" t="s">
        <v>8560</v>
      </c>
      <c r="E1553" t="s">
        <v>8572</v>
      </c>
      <c r="F1553" t="s">
        <v>8562</v>
      </c>
      <c r="G1553" t="s">
        <v>8573</v>
      </c>
      <c r="H1553">
        <v>-1.5</v>
      </c>
      <c r="I1553">
        <v>-1.75</v>
      </c>
      <c r="J1553">
        <v>180</v>
      </c>
      <c r="L1553" t="s">
        <v>7330</v>
      </c>
      <c r="M1553" t="s">
        <v>7330</v>
      </c>
      <c r="N1553">
        <v>272</v>
      </c>
      <c r="P1553">
        <v>2</v>
      </c>
      <c r="Q1553">
        <v>270</v>
      </c>
      <c r="R1553" t="s">
        <v>7927</v>
      </c>
      <c r="S1553">
        <v>0</v>
      </c>
    </row>
    <row r="1554" spans="1:19">
      <c r="A1554" t="s">
        <v>7334</v>
      </c>
      <c r="B1554">
        <v>103</v>
      </c>
      <c r="C1554" t="s">
        <v>7328</v>
      </c>
      <c r="D1554" t="s">
        <v>8560</v>
      </c>
      <c r="E1554" t="s">
        <v>8574</v>
      </c>
      <c r="F1554" t="s">
        <v>8562</v>
      </c>
      <c r="G1554" t="s">
        <v>8575</v>
      </c>
      <c r="H1554">
        <v>-1.75</v>
      </c>
      <c r="I1554">
        <v>-1.25</v>
      </c>
      <c r="J1554">
        <v>180</v>
      </c>
      <c r="L1554" t="s">
        <v>7330</v>
      </c>
      <c r="M1554" t="s">
        <v>7330</v>
      </c>
      <c r="N1554">
        <v>183</v>
      </c>
      <c r="P1554">
        <v>2</v>
      </c>
      <c r="Q1554">
        <v>181</v>
      </c>
      <c r="R1554" t="s">
        <v>7927</v>
      </c>
      <c r="S1554">
        <v>0</v>
      </c>
    </row>
    <row r="1555" spans="1:19">
      <c r="A1555" t="s">
        <v>7334</v>
      </c>
      <c r="B1555">
        <v>103</v>
      </c>
      <c r="C1555" t="s">
        <v>7328</v>
      </c>
      <c r="D1555" t="s">
        <v>8560</v>
      </c>
      <c r="E1555" t="s">
        <v>8576</v>
      </c>
      <c r="F1555" t="s">
        <v>8562</v>
      </c>
      <c r="G1555" t="s">
        <v>8577</v>
      </c>
      <c r="H1555">
        <v>-1.75</v>
      </c>
      <c r="I1555">
        <v>-1.75</v>
      </c>
      <c r="J1555">
        <v>180</v>
      </c>
      <c r="L1555" t="s">
        <v>7330</v>
      </c>
      <c r="M1555" t="s">
        <v>7330</v>
      </c>
      <c r="N1555">
        <v>184</v>
      </c>
      <c r="P1555">
        <v>2</v>
      </c>
      <c r="Q1555">
        <v>182</v>
      </c>
      <c r="R1555" t="s">
        <v>7927</v>
      </c>
      <c r="S1555">
        <v>0</v>
      </c>
    </row>
    <row r="1556" spans="1:19">
      <c r="A1556" t="s">
        <v>7334</v>
      </c>
      <c r="B1556">
        <v>103</v>
      </c>
      <c r="C1556" t="s">
        <v>7328</v>
      </c>
      <c r="D1556" t="s">
        <v>8560</v>
      </c>
      <c r="E1556" t="s">
        <v>8578</v>
      </c>
      <c r="F1556" t="s">
        <v>8562</v>
      </c>
      <c r="G1556" t="s">
        <v>8579</v>
      </c>
      <c r="H1556">
        <v>-2</v>
      </c>
      <c r="I1556">
        <v>-0.75</v>
      </c>
      <c r="J1556">
        <v>180</v>
      </c>
      <c r="L1556" t="s">
        <v>7330</v>
      </c>
      <c r="M1556" t="s">
        <v>7330</v>
      </c>
      <c r="N1556">
        <v>164</v>
      </c>
      <c r="P1556">
        <v>2</v>
      </c>
      <c r="Q1556">
        <v>162</v>
      </c>
      <c r="R1556" t="s">
        <v>7927</v>
      </c>
      <c r="S1556">
        <v>0</v>
      </c>
    </row>
    <row r="1557" spans="1:19">
      <c r="A1557" t="s">
        <v>7334</v>
      </c>
      <c r="B1557">
        <v>103</v>
      </c>
      <c r="C1557" t="s">
        <v>7328</v>
      </c>
      <c r="D1557" t="s">
        <v>8560</v>
      </c>
      <c r="E1557" t="s">
        <v>8580</v>
      </c>
      <c r="F1557" t="s">
        <v>8562</v>
      </c>
      <c r="G1557" t="s">
        <v>8581</v>
      </c>
      <c r="H1557">
        <v>-2</v>
      </c>
      <c r="I1557">
        <v>-1.75</v>
      </c>
      <c r="J1557">
        <v>180</v>
      </c>
      <c r="L1557" t="s">
        <v>7330</v>
      </c>
      <c r="M1557" t="s">
        <v>7330</v>
      </c>
      <c r="N1557">
        <v>197</v>
      </c>
      <c r="P1557">
        <v>2</v>
      </c>
      <c r="Q1557">
        <v>195</v>
      </c>
      <c r="R1557" t="s">
        <v>7927</v>
      </c>
      <c r="S1557">
        <v>0</v>
      </c>
    </row>
    <row r="1558" spans="1:19">
      <c r="A1558" t="s">
        <v>7334</v>
      </c>
      <c r="B1558">
        <v>103</v>
      </c>
      <c r="C1558" t="s">
        <v>7328</v>
      </c>
      <c r="D1558" t="s">
        <v>8560</v>
      </c>
      <c r="E1558" t="s">
        <v>8582</v>
      </c>
      <c r="F1558" t="s">
        <v>8562</v>
      </c>
      <c r="G1558" t="s">
        <v>8583</v>
      </c>
      <c r="H1558">
        <v>-2.25</v>
      </c>
      <c r="I1558">
        <v>-0.75</v>
      </c>
      <c r="J1558">
        <v>180</v>
      </c>
      <c r="L1558" t="s">
        <v>7330</v>
      </c>
      <c r="M1558" t="s">
        <v>7330</v>
      </c>
      <c r="N1558">
        <v>191</v>
      </c>
      <c r="P1558">
        <v>2</v>
      </c>
      <c r="Q1558">
        <v>189</v>
      </c>
      <c r="R1558" t="s">
        <v>7927</v>
      </c>
      <c r="S1558">
        <v>0</v>
      </c>
    </row>
    <row r="1559" spans="1:19">
      <c r="A1559" t="s">
        <v>7334</v>
      </c>
      <c r="B1559">
        <v>103</v>
      </c>
      <c r="C1559" t="s">
        <v>7328</v>
      </c>
      <c r="D1559" t="s">
        <v>8560</v>
      </c>
      <c r="E1559" t="s">
        <v>8584</v>
      </c>
      <c r="F1559" t="s">
        <v>8562</v>
      </c>
      <c r="G1559" t="s">
        <v>8585</v>
      </c>
      <c r="H1559">
        <v>-2.25</v>
      </c>
      <c r="I1559">
        <v>-1.75</v>
      </c>
      <c r="J1559">
        <v>180</v>
      </c>
      <c r="L1559" t="s">
        <v>7330</v>
      </c>
      <c r="M1559" t="s">
        <v>7330</v>
      </c>
      <c r="N1559">
        <v>281</v>
      </c>
      <c r="P1559">
        <v>2</v>
      </c>
      <c r="Q1559">
        <v>279</v>
      </c>
      <c r="R1559" t="s">
        <v>7927</v>
      </c>
      <c r="S1559">
        <v>0</v>
      </c>
    </row>
    <row r="1560" spans="1:19">
      <c r="A1560" t="s">
        <v>7334</v>
      </c>
      <c r="B1560">
        <v>103</v>
      </c>
      <c r="C1560" t="s">
        <v>7328</v>
      </c>
      <c r="D1560" t="s">
        <v>8560</v>
      </c>
      <c r="E1560" t="s">
        <v>8586</v>
      </c>
      <c r="F1560" t="s">
        <v>8562</v>
      </c>
      <c r="G1560" t="s">
        <v>8587</v>
      </c>
      <c r="H1560">
        <v>-2.5</v>
      </c>
      <c r="I1560">
        <v>-0.75</v>
      </c>
      <c r="J1560">
        <v>180</v>
      </c>
      <c r="L1560" t="s">
        <v>7330</v>
      </c>
      <c r="M1560" t="s">
        <v>7330</v>
      </c>
      <c r="N1560">
        <v>402</v>
      </c>
      <c r="P1560">
        <v>2</v>
      </c>
      <c r="Q1560">
        <v>400</v>
      </c>
      <c r="R1560" t="s">
        <v>7927</v>
      </c>
      <c r="S1560">
        <v>0</v>
      </c>
    </row>
    <row r="1561" spans="1:19">
      <c r="A1561" t="s">
        <v>7334</v>
      </c>
      <c r="B1561">
        <v>103</v>
      </c>
      <c r="C1561" t="s">
        <v>7328</v>
      </c>
      <c r="D1561" t="s">
        <v>8560</v>
      </c>
      <c r="E1561" t="s">
        <v>8588</v>
      </c>
      <c r="F1561" t="s">
        <v>8562</v>
      </c>
      <c r="G1561" t="s">
        <v>8589</v>
      </c>
      <c r="H1561">
        <v>-2.5</v>
      </c>
      <c r="I1561">
        <v>-1.75</v>
      </c>
      <c r="J1561">
        <v>180</v>
      </c>
      <c r="L1561" t="s">
        <v>7330</v>
      </c>
      <c r="M1561" t="s">
        <v>7330</v>
      </c>
      <c r="N1561">
        <v>296</v>
      </c>
      <c r="P1561">
        <v>2</v>
      </c>
      <c r="Q1561">
        <v>294</v>
      </c>
      <c r="R1561" t="s">
        <v>7927</v>
      </c>
      <c r="S1561">
        <v>0</v>
      </c>
    </row>
    <row r="1562" spans="1:19">
      <c r="A1562" t="s">
        <v>7334</v>
      </c>
      <c r="B1562">
        <v>103</v>
      </c>
      <c r="C1562" t="s">
        <v>7328</v>
      </c>
      <c r="D1562" t="s">
        <v>8560</v>
      </c>
      <c r="E1562" t="s">
        <v>8590</v>
      </c>
      <c r="F1562" t="s">
        <v>8562</v>
      </c>
      <c r="G1562" t="s">
        <v>8591</v>
      </c>
      <c r="H1562">
        <v>-2.75</v>
      </c>
      <c r="I1562">
        <v>-0.75</v>
      </c>
      <c r="J1562">
        <v>180</v>
      </c>
      <c r="L1562" t="s">
        <v>7330</v>
      </c>
      <c r="M1562" t="s">
        <v>7330</v>
      </c>
      <c r="N1562">
        <v>157</v>
      </c>
      <c r="P1562">
        <v>2</v>
      </c>
      <c r="Q1562">
        <v>155</v>
      </c>
      <c r="R1562" t="s">
        <v>7927</v>
      </c>
      <c r="S1562">
        <v>0</v>
      </c>
    </row>
    <row r="1563" spans="1:19">
      <c r="A1563" t="s">
        <v>7334</v>
      </c>
      <c r="B1563">
        <v>103</v>
      </c>
      <c r="C1563" t="s">
        <v>7328</v>
      </c>
      <c r="D1563" t="s">
        <v>8560</v>
      </c>
      <c r="E1563" t="s">
        <v>8592</v>
      </c>
      <c r="F1563" t="s">
        <v>8562</v>
      </c>
      <c r="G1563" t="s">
        <v>8593</v>
      </c>
      <c r="H1563">
        <v>-2.75</v>
      </c>
      <c r="I1563">
        <v>-1.75</v>
      </c>
      <c r="J1563">
        <v>180</v>
      </c>
      <c r="L1563" t="s">
        <v>7330</v>
      </c>
      <c r="M1563" t="s">
        <v>7330</v>
      </c>
      <c r="N1563">
        <v>207</v>
      </c>
      <c r="P1563">
        <v>2</v>
      </c>
      <c r="Q1563">
        <v>205</v>
      </c>
      <c r="R1563" t="s">
        <v>7927</v>
      </c>
      <c r="S1563">
        <v>0</v>
      </c>
    </row>
    <row r="1564" spans="1:19">
      <c r="A1564" t="s">
        <v>7334</v>
      </c>
      <c r="B1564">
        <v>103</v>
      </c>
      <c r="C1564" t="s">
        <v>7328</v>
      </c>
      <c r="D1564" t="s">
        <v>8560</v>
      </c>
      <c r="E1564" t="s">
        <v>8594</v>
      </c>
      <c r="F1564" t="s">
        <v>8562</v>
      </c>
      <c r="G1564" t="s">
        <v>8595</v>
      </c>
      <c r="H1564">
        <v>-3</v>
      </c>
      <c r="I1564">
        <v>-0.75</v>
      </c>
      <c r="J1564">
        <v>180</v>
      </c>
      <c r="L1564" t="s">
        <v>7330</v>
      </c>
      <c r="M1564" t="s">
        <v>7330</v>
      </c>
      <c r="N1564">
        <v>302</v>
      </c>
      <c r="P1564">
        <v>2</v>
      </c>
      <c r="Q1564">
        <v>300</v>
      </c>
      <c r="R1564" t="s">
        <v>7927</v>
      </c>
      <c r="S1564">
        <v>0</v>
      </c>
    </row>
    <row r="1565" spans="1:19">
      <c r="A1565" t="s">
        <v>7334</v>
      </c>
      <c r="B1565">
        <v>103</v>
      </c>
      <c r="C1565" t="s">
        <v>7328</v>
      </c>
      <c r="D1565" t="s">
        <v>8560</v>
      </c>
      <c r="E1565" t="s">
        <v>8596</v>
      </c>
      <c r="F1565" t="s">
        <v>8562</v>
      </c>
      <c r="G1565" t="s">
        <v>8597</v>
      </c>
      <c r="H1565">
        <v>-3</v>
      </c>
      <c r="I1565">
        <v>-1.75</v>
      </c>
      <c r="J1565">
        <v>180</v>
      </c>
      <c r="L1565" t="s">
        <v>7330</v>
      </c>
      <c r="M1565" t="s">
        <v>7330</v>
      </c>
      <c r="N1565">
        <v>201</v>
      </c>
      <c r="P1565">
        <v>2</v>
      </c>
      <c r="Q1565">
        <v>199</v>
      </c>
      <c r="R1565" t="s">
        <v>7927</v>
      </c>
      <c r="S1565">
        <v>0</v>
      </c>
    </row>
    <row r="1566" spans="1:19">
      <c r="A1566" t="s">
        <v>7334</v>
      </c>
      <c r="B1566">
        <v>103</v>
      </c>
      <c r="C1566" t="s">
        <v>7328</v>
      </c>
      <c r="D1566" t="s">
        <v>8560</v>
      </c>
      <c r="E1566" t="s">
        <v>8598</v>
      </c>
      <c r="F1566" t="s">
        <v>8562</v>
      </c>
      <c r="G1566" t="s">
        <v>8599</v>
      </c>
      <c r="H1566">
        <v>-3.25</v>
      </c>
      <c r="I1566">
        <v>-0.75</v>
      </c>
      <c r="J1566">
        <v>180</v>
      </c>
      <c r="L1566" t="s">
        <v>7330</v>
      </c>
      <c r="M1566" t="s">
        <v>7330</v>
      </c>
      <c r="N1566">
        <v>269</v>
      </c>
      <c r="P1566">
        <v>2</v>
      </c>
      <c r="Q1566">
        <v>267</v>
      </c>
      <c r="R1566" t="s">
        <v>7927</v>
      </c>
      <c r="S1566">
        <v>0</v>
      </c>
    </row>
    <row r="1567" spans="1:19">
      <c r="A1567" t="s">
        <v>7334</v>
      </c>
      <c r="B1567">
        <v>103</v>
      </c>
      <c r="C1567" t="s">
        <v>7328</v>
      </c>
      <c r="D1567" t="s">
        <v>8560</v>
      </c>
      <c r="E1567" t="s">
        <v>8600</v>
      </c>
      <c r="F1567" t="s">
        <v>8562</v>
      </c>
      <c r="G1567" t="s">
        <v>8601</v>
      </c>
      <c r="H1567">
        <v>-3.5</v>
      </c>
      <c r="I1567">
        <v>-1.75</v>
      </c>
      <c r="J1567">
        <v>180</v>
      </c>
      <c r="L1567" t="s">
        <v>7330</v>
      </c>
      <c r="M1567" t="s">
        <v>7330</v>
      </c>
      <c r="N1567">
        <v>35</v>
      </c>
      <c r="P1567">
        <v>2</v>
      </c>
      <c r="Q1567">
        <v>33</v>
      </c>
      <c r="R1567" t="s">
        <v>7927</v>
      </c>
      <c r="S1567">
        <v>0</v>
      </c>
    </row>
    <row r="1568" spans="1:19">
      <c r="A1568" t="s">
        <v>7334</v>
      </c>
      <c r="B1568">
        <v>103</v>
      </c>
      <c r="C1568" t="s">
        <v>7328</v>
      </c>
      <c r="D1568" t="s">
        <v>8560</v>
      </c>
      <c r="E1568" t="s">
        <v>8602</v>
      </c>
      <c r="F1568" t="s">
        <v>8562</v>
      </c>
      <c r="G1568" t="s">
        <v>8603</v>
      </c>
      <c r="H1568">
        <v>-4</v>
      </c>
      <c r="I1568">
        <v>-0.75</v>
      </c>
      <c r="J1568">
        <v>180</v>
      </c>
      <c r="L1568" t="s">
        <v>7330</v>
      </c>
      <c r="M1568" t="s">
        <v>7330</v>
      </c>
      <c r="N1568">
        <v>250</v>
      </c>
      <c r="P1568">
        <v>2</v>
      </c>
      <c r="Q1568">
        <v>248</v>
      </c>
      <c r="R1568" t="s">
        <v>7927</v>
      </c>
      <c r="S1568">
        <v>0</v>
      </c>
    </row>
    <row r="1569" spans="1:19">
      <c r="A1569" t="s">
        <v>7334</v>
      </c>
      <c r="B1569">
        <v>103</v>
      </c>
      <c r="C1569" t="s">
        <v>7328</v>
      </c>
      <c r="D1569" t="s">
        <v>8560</v>
      </c>
      <c r="E1569" t="s">
        <v>8604</v>
      </c>
      <c r="F1569" t="s">
        <v>8562</v>
      </c>
      <c r="G1569" t="s">
        <v>8605</v>
      </c>
      <c r="H1569">
        <v>-4</v>
      </c>
      <c r="I1569">
        <v>-1.25</v>
      </c>
      <c r="J1569">
        <v>180</v>
      </c>
      <c r="L1569" t="s">
        <v>7330</v>
      </c>
      <c r="M1569" t="s">
        <v>7330</v>
      </c>
      <c r="N1569">
        <v>271</v>
      </c>
      <c r="P1569">
        <v>2</v>
      </c>
      <c r="Q1569">
        <v>269</v>
      </c>
      <c r="R1569" t="s">
        <v>7927</v>
      </c>
      <c r="S1569">
        <v>0</v>
      </c>
    </row>
    <row r="1570" spans="1:19">
      <c r="A1570" t="s">
        <v>7334</v>
      </c>
      <c r="B1570">
        <v>103</v>
      </c>
      <c r="C1570" t="s">
        <v>7328</v>
      </c>
      <c r="D1570" t="s">
        <v>8560</v>
      </c>
      <c r="E1570" t="s">
        <v>8606</v>
      </c>
      <c r="F1570" t="s">
        <v>8562</v>
      </c>
      <c r="G1570" t="s">
        <v>8607</v>
      </c>
      <c r="H1570">
        <v>-4.25</v>
      </c>
      <c r="I1570">
        <v>-0.75</v>
      </c>
      <c r="J1570">
        <v>180</v>
      </c>
      <c r="L1570" t="s">
        <v>7330</v>
      </c>
      <c r="M1570" t="s">
        <v>7330</v>
      </c>
      <c r="N1570">
        <v>413</v>
      </c>
      <c r="P1570">
        <v>2</v>
      </c>
      <c r="Q1570">
        <v>411</v>
      </c>
      <c r="R1570" t="s">
        <v>7927</v>
      </c>
      <c r="S1570">
        <v>0</v>
      </c>
    </row>
    <row r="1571" spans="1:19">
      <c r="A1571" t="s">
        <v>7334</v>
      </c>
      <c r="B1571">
        <v>103</v>
      </c>
      <c r="C1571" t="s">
        <v>7328</v>
      </c>
      <c r="D1571" t="s">
        <v>8560</v>
      </c>
      <c r="E1571" t="s">
        <v>8608</v>
      </c>
      <c r="F1571" t="s">
        <v>8562</v>
      </c>
      <c r="G1571" t="s">
        <v>8609</v>
      </c>
      <c r="H1571">
        <v>-4.5</v>
      </c>
      <c r="I1571">
        <v>-1.25</v>
      </c>
      <c r="J1571">
        <v>180</v>
      </c>
      <c r="L1571" t="s">
        <v>7330</v>
      </c>
      <c r="M1571" t="s">
        <v>7330</v>
      </c>
      <c r="N1571">
        <v>229</v>
      </c>
      <c r="P1571">
        <v>2</v>
      </c>
      <c r="Q1571">
        <v>227</v>
      </c>
      <c r="R1571" t="s">
        <v>7927</v>
      </c>
      <c r="S1571">
        <v>0</v>
      </c>
    </row>
    <row r="1572" spans="1:19">
      <c r="A1572" t="s">
        <v>7334</v>
      </c>
      <c r="B1572">
        <v>103</v>
      </c>
      <c r="C1572" t="s">
        <v>7328</v>
      </c>
      <c r="D1572" t="s">
        <v>8560</v>
      </c>
      <c r="E1572" t="s">
        <v>8610</v>
      </c>
      <c r="F1572" t="s">
        <v>8562</v>
      </c>
      <c r="G1572" t="s">
        <v>8611</v>
      </c>
      <c r="H1572">
        <v>-5</v>
      </c>
      <c r="I1572">
        <v>-1.25</v>
      </c>
      <c r="J1572">
        <v>180</v>
      </c>
      <c r="L1572" t="s">
        <v>7330</v>
      </c>
      <c r="M1572" t="s">
        <v>7330</v>
      </c>
      <c r="N1572">
        <v>204</v>
      </c>
      <c r="P1572">
        <v>2</v>
      </c>
      <c r="Q1572">
        <v>202</v>
      </c>
      <c r="R1572" t="s">
        <v>7927</v>
      </c>
      <c r="S1572">
        <v>0</v>
      </c>
    </row>
    <row r="1573" spans="1:19">
      <c r="A1573" t="s">
        <v>7334</v>
      </c>
      <c r="B1573">
        <v>103</v>
      </c>
      <c r="C1573" t="s">
        <v>7328</v>
      </c>
      <c r="D1573" t="s">
        <v>8560</v>
      </c>
      <c r="E1573" t="s">
        <v>8612</v>
      </c>
      <c r="F1573" t="s">
        <v>8562</v>
      </c>
      <c r="G1573" t="s">
        <v>8613</v>
      </c>
      <c r="H1573">
        <v>-5.5</v>
      </c>
      <c r="I1573">
        <v>-0.75</v>
      </c>
      <c r="J1573">
        <v>180</v>
      </c>
      <c r="L1573" t="s">
        <v>7330</v>
      </c>
      <c r="M1573" t="s">
        <v>7330</v>
      </c>
      <c r="N1573">
        <v>273</v>
      </c>
      <c r="P1573">
        <v>2</v>
      </c>
      <c r="Q1573">
        <v>271</v>
      </c>
      <c r="R1573" t="s">
        <v>7927</v>
      </c>
      <c r="S1573">
        <v>0</v>
      </c>
    </row>
    <row r="1574" spans="1:19">
      <c r="A1574" t="s">
        <v>7334</v>
      </c>
      <c r="B1574">
        <v>103</v>
      </c>
      <c r="C1574" t="s">
        <v>7328</v>
      </c>
      <c r="D1574" t="s">
        <v>8560</v>
      </c>
      <c r="E1574" t="s">
        <v>8614</v>
      </c>
      <c r="F1574" t="s">
        <v>8562</v>
      </c>
      <c r="G1574" t="s">
        <v>8615</v>
      </c>
      <c r="H1574">
        <v>-5.5</v>
      </c>
      <c r="I1574">
        <v>-1.25</v>
      </c>
      <c r="J1574">
        <v>180</v>
      </c>
      <c r="L1574" t="s">
        <v>7330</v>
      </c>
      <c r="M1574" t="s">
        <v>7330</v>
      </c>
      <c r="N1574">
        <v>411</v>
      </c>
      <c r="P1574">
        <v>2</v>
      </c>
      <c r="Q1574">
        <v>409</v>
      </c>
      <c r="R1574" t="s">
        <v>7927</v>
      </c>
      <c r="S1574">
        <v>0</v>
      </c>
    </row>
    <row r="1575" spans="1:19">
      <c r="A1575" t="s">
        <v>7334</v>
      </c>
      <c r="B1575">
        <v>103</v>
      </c>
      <c r="C1575" t="s">
        <v>7328</v>
      </c>
      <c r="D1575" t="s">
        <v>8560</v>
      </c>
      <c r="E1575" t="s">
        <v>8616</v>
      </c>
      <c r="F1575" t="s">
        <v>8562</v>
      </c>
      <c r="G1575" t="s">
        <v>8617</v>
      </c>
      <c r="H1575">
        <v>-5.5</v>
      </c>
      <c r="I1575">
        <v>-1.75</v>
      </c>
      <c r="J1575">
        <v>180</v>
      </c>
      <c r="L1575" t="s">
        <v>7330</v>
      </c>
      <c r="M1575" t="s">
        <v>7330</v>
      </c>
      <c r="N1575">
        <v>34</v>
      </c>
      <c r="P1575">
        <v>2</v>
      </c>
      <c r="Q1575">
        <v>32</v>
      </c>
      <c r="R1575" t="s">
        <v>7927</v>
      </c>
      <c r="S1575">
        <v>0</v>
      </c>
    </row>
    <row r="1576" spans="1:19">
      <c r="A1576" t="s">
        <v>7334</v>
      </c>
      <c r="B1576">
        <v>103</v>
      </c>
      <c r="C1576" t="s">
        <v>7328</v>
      </c>
      <c r="D1576" t="s">
        <v>8560</v>
      </c>
      <c r="E1576" t="s">
        <v>8618</v>
      </c>
      <c r="F1576" t="s">
        <v>8562</v>
      </c>
      <c r="G1576" t="s">
        <v>8619</v>
      </c>
      <c r="H1576">
        <v>-6</v>
      </c>
      <c r="I1576">
        <v>-0.75</v>
      </c>
      <c r="J1576">
        <v>180</v>
      </c>
      <c r="L1576" t="s">
        <v>7330</v>
      </c>
      <c r="M1576" t="s">
        <v>7330</v>
      </c>
      <c r="N1576">
        <v>183</v>
      </c>
      <c r="P1576">
        <v>2</v>
      </c>
      <c r="Q1576">
        <v>181</v>
      </c>
      <c r="R1576" t="s">
        <v>7927</v>
      </c>
      <c r="S1576">
        <v>0</v>
      </c>
    </row>
    <row r="1577" spans="1:19">
      <c r="A1577" t="s">
        <v>7334</v>
      </c>
      <c r="B1577">
        <v>103</v>
      </c>
      <c r="C1577" t="s">
        <v>7328</v>
      </c>
      <c r="D1577" t="s">
        <v>8560</v>
      </c>
      <c r="E1577" t="s">
        <v>8620</v>
      </c>
      <c r="F1577" t="s">
        <v>8562</v>
      </c>
      <c r="G1577" t="s">
        <v>8621</v>
      </c>
      <c r="H1577">
        <v>-6</v>
      </c>
      <c r="I1577">
        <v>-1.25</v>
      </c>
      <c r="J1577">
        <v>180</v>
      </c>
      <c r="L1577" t="s">
        <v>7330</v>
      </c>
      <c r="M1577" t="s">
        <v>7330</v>
      </c>
      <c r="N1577">
        <v>151</v>
      </c>
      <c r="P1577">
        <v>2</v>
      </c>
      <c r="Q1577">
        <v>149</v>
      </c>
      <c r="R1577" t="s">
        <v>7927</v>
      </c>
      <c r="S1577">
        <v>0</v>
      </c>
    </row>
    <row r="1578" spans="1:19">
      <c r="A1578" t="s">
        <v>7334</v>
      </c>
      <c r="B1578">
        <v>103</v>
      </c>
      <c r="C1578" t="s">
        <v>7328</v>
      </c>
      <c r="D1578" t="s">
        <v>8560</v>
      </c>
      <c r="E1578" t="s">
        <v>8622</v>
      </c>
      <c r="F1578" t="s">
        <v>8562</v>
      </c>
      <c r="G1578" t="s">
        <v>8623</v>
      </c>
      <c r="H1578">
        <v>-6</v>
      </c>
      <c r="I1578">
        <v>-1.75</v>
      </c>
      <c r="J1578">
        <v>180</v>
      </c>
      <c r="L1578" t="s">
        <v>7330</v>
      </c>
      <c r="M1578" t="s">
        <v>7330</v>
      </c>
      <c r="N1578">
        <v>197</v>
      </c>
      <c r="P1578">
        <v>2</v>
      </c>
      <c r="Q1578">
        <v>195</v>
      </c>
      <c r="R1578" t="s">
        <v>7927</v>
      </c>
      <c r="S1578">
        <v>0</v>
      </c>
    </row>
    <row r="1579" spans="1:19">
      <c r="A1579" t="s">
        <v>7334</v>
      </c>
      <c r="B1579">
        <v>103</v>
      </c>
      <c r="C1579" t="s">
        <v>7328</v>
      </c>
      <c r="D1579" t="s">
        <v>8560</v>
      </c>
      <c r="E1579" t="s">
        <v>8624</v>
      </c>
      <c r="F1579" t="s">
        <v>8562</v>
      </c>
      <c r="G1579" t="s">
        <v>8625</v>
      </c>
      <c r="H1579">
        <v>-6.5</v>
      </c>
      <c r="I1579">
        <v>-0.75</v>
      </c>
      <c r="J1579">
        <v>180</v>
      </c>
      <c r="L1579" t="s">
        <v>7330</v>
      </c>
      <c r="M1579" t="s">
        <v>7330</v>
      </c>
      <c r="N1579">
        <v>219</v>
      </c>
      <c r="P1579">
        <v>2</v>
      </c>
      <c r="Q1579">
        <v>217</v>
      </c>
      <c r="R1579" t="s">
        <v>7927</v>
      </c>
      <c r="S1579">
        <v>0</v>
      </c>
    </row>
    <row r="1580" spans="1:19">
      <c r="A1580" t="s">
        <v>7334</v>
      </c>
      <c r="B1580">
        <v>103</v>
      </c>
      <c r="C1580" t="s">
        <v>7328</v>
      </c>
      <c r="D1580" t="s">
        <v>8560</v>
      </c>
      <c r="E1580" t="s">
        <v>8626</v>
      </c>
      <c r="F1580" t="s">
        <v>8562</v>
      </c>
      <c r="G1580" t="s">
        <v>8627</v>
      </c>
      <c r="H1580">
        <v>-6.5</v>
      </c>
      <c r="I1580">
        <v>-1.25</v>
      </c>
      <c r="J1580">
        <v>180</v>
      </c>
      <c r="L1580" t="s">
        <v>7330</v>
      </c>
      <c r="M1580" t="s">
        <v>7330</v>
      </c>
      <c r="N1580">
        <v>274</v>
      </c>
      <c r="P1580">
        <v>2</v>
      </c>
      <c r="Q1580">
        <v>272</v>
      </c>
      <c r="R1580" t="s">
        <v>7927</v>
      </c>
      <c r="S1580">
        <v>0</v>
      </c>
    </row>
    <row r="1581" spans="1:19">
      <c r="A1581" t="s">
        <v>7334</v>
      </c>
      <c r="B1581">
        <v>103</v>
      </c>
      <c r="C1581" t="s">
        <v>7328</v>
      </c>
      <c r="D1581" t="s">
        <v>8560</v>
      </c>
      <c r="E1581" t="s">
        <v>8628</v>
      </c>
      <c r="F1581" t="s">
        <v>8562</v>
      </c>
      <c r="G1581" t="s">
        <v>8629</v>
      </c>
      <c r="H1581">
        <v>-6.5</v>
      </c>
      <c r="I1581">
        <v>-1.75</v>
      </c>
      <c r="J1581">
        <v>180</v>
      </c>
      <c r="L1581" t="s">
        <v>7330</v>
      </c>
      <c r="M1581" t="s">
        <v>7330</v>
      </c>
      <c r="N1581">
        <v>307</v>
      </c>
      <c r="P1581">
        <v>2</v>
      </c>
      <c r="Q1581">
        <v>305</v>
      </c>
      <c r="R1581" t="s">
        <v>7927</v>
      </c>
      <c r="S1581">
        <v>0</v>
      </c>
    </row>
    <row r="1582" spans="1:19">
      <c r="A1582" t="s">
        <v>7334</v>
      </c>
      <c r="B1582">
        <v>103</v>
      </c>
      <c r="C1582" t="s">
        <v>7328</v>
      </c>
      <c r="D1582" t="s">
        <v>8560</v>
      </c>
      <c r="E1582" t="s">
        <v>8630</v>
      </c>
      <c r="F1582" t="s">
        <v>8562</v>
      </c>
      <c r="G1582" t="s">
        <v>8631</v>
      </c>
      <c r="H1582">
        <v>-7</v>
      </c>
      <c r="I1582">
        <v>-0.75</v>
      </c>
      <c r="J1582">
        <v>180</v>
      </c>
      <c r="L1582" t="s">
        <v>7330</v>
      </c>
      <c r="M1582" t="s">
        <v>7330</v>
      </c>
      <c r="N1582">
        <v>249</v>
      </c>
      <c r="P1582">
        <v>2</v>
      </c>
      <c r="Q1582">
        <v>247</v>
      </c>
      <c r="R1582" t="s">
        <v>7927</v>
      </c>
      <c r="S1582">
        <v>0</v>
      </c>
    </row>
    <row r="1583" spans="1:19">
      <c r="A1583" t="s">
        <v>7334</v>
      </c>
      <c r="B1583">
        <v>103</v>
      </c>
      <c r="C1583" t="s">
        <v>7328</v>
      </c>
      <c r="D1583" t="s">
        <v>8560</v>
      </c>
      <c r="E1583" t="s">
        <v>8632</v>
      </c>
      <c r="F1583" t="s">
        <v>8562</v>
      </c>
      <c r="G1583" t="s">
        <v>8633</v>
      </c>
      <c r="H1583">
        <v>-7.5</v>
      </c>
      <c r="I1583">
        <v>-0.75</v>
      </c>
      <c r="J1583">
        <v>180</v>
      </c>
      <c r="L1583" t="s">
        <v>7330</v>
      </c>
      <c r="M1583" t="s">
        <v>7330</v>
      </c>
      <c r="N1583">
        <v>248</v>
      </c>
      <c r="P1583">
        <v>0</v>
      </c>
      <c r="Q1583">
        <v>248</v>
      </c>
      <c r="R1583" t="s">
        <v>7927</v>
      </c>
      <c r="S1583">
        <v>0</v>
      </c>
    </row>
    <row r="1584" spans="1:19">
      <c r="A1584" t="s">
        <v>7334</v>
      </c>
      <c r="B1584">
        <v>103</v>
      </c>
      <c r="C1584" t="s">
        <v>7328</v>
      </c>
      <c r="D1584" t="s">
        <v>8560</v>
      </c>
      <c r="E1584" t="s">
        <v>8634</v>
      </c>
      <c r="F1584" t="s">
        <v>8562</v>
      </c>
      <c r="G1584" t="s">
        <v>8635</v>
      </c>
      <c r="H1584">
        <v>-7.5</v>
      </c>
      <c r="I1584">
        <v>-1.25</v>
      </c>
      <c r="J1584">
        <v>180</v>
      </c>
      <c r="L1584" t="s">
        <v>7330</v>
      </c>
      <c r="M1584" t="s">
        <v>7330</v>
      </c>
      <c r="N1584">
        <v>224</v>
      </c>
      <c r="P1584">
        <v>0</v>
      </c>
      <c r="Q1584">
        <v>224</v>
      </c>
      <c r="R1584" t="s">
        <v>7927</v>
      </c>
      <c r="S1584">
        <v>0</v>
      </c>
    </row>
    <row r="1585" spans="1:19">
      <c r="A1585" t="s">
        <v>7334</v>
      </c>
      <c r="B1585">
        <v>103</v>
      </c>
      <c r="C1585" t="s">
        <v>7328</v>
      </c>
      <c r="D1585" t="s">
        <v>8560</v>
      </c>
      <c r="E1585" t="s">
        <v>8636</v>
      </c>
      <c r="F1585" t="s">
        <v>8562</v>
      </c>
      <c r="G1585" t="s">
        <v>8637</v>
      </c>
      <c r="H1585">
        <v>-7.5</v>
      </c>
      <c r="I1585">
        <v>-1.75</v>
      </c>
      <c r="J1585">
        <v>180</v>
      </c>
      <c r="L1585" t="s">
        <v>7330</v>
      </c>
      <c r="M1585" t="s">
        <v>7330</v>
      </c>
      <c r="N1585">
        <v>259</v>
      </c>
      <c r="P1585">
        <v>0</v>
      </c>
      <c r="Q1585">
        <v>259</v>
      </c>
      <c r="R1585" t="s">
        <v>7927</v>
      </c>
      <c r="S1585">
        <v>0</v>
      </c>
    </row>
    <row r="1586" spans="1:19">
      <c r="A1586" t="s">
        <v>7334</v>
      </c>
      <c r="B1586">
        <v>103</v>
      </c>
      <c r="C1586" t="s">
        <v>7328</v>
      </c>
      <c r="D1586" t="s">
        <v>8560</v>
      </c>
      <c r="E1586" t="s">
        <v>8638</v>
      </c>
      <c r="F1586" t="s">
        <v>8562</v>
      </c>
      <c r="G1586" t="s">
        <v>8639</v>
      </c>
      <c r="H1586">
        <v>-8</v>
      </c>
      <c r="I1586">
        <v>-0.75</v>
      </c>
      <c r="J1586">
        <v>180</v>
      </c>
      <c r="L1586" t="s">
        <v>7330</v>
      </c>
      <c r="M1586" t="s">
        <v>7330</v>
      </c>
      <c r="N1586">
        <v>233</v>
      </c>
      <c r="P1586">
        <v>0</v>
      </c>
      <c r="Q1586">
        <v>233</v>
      </c>
      <c r="R1586" t="s">
        <v>7927</v>
      </c>
      <c r="S1586">
        <v>0</v>
      </c>
    </row>
    <row r="1587" spans="1:19">
      <c r="A1587" t="s">
        <v>7334</v>
      </c>
      <c r="B1587">
        <v>103</v>
      </c>
      <c r="C1587" t="s">
        <v>7328</v>
      </c>
      <c r="D1587" t="s">
        <v>8560</v>
      </c>
      <c r="E1587" t="s">
        <v>8640</v>
      </c>
      <c r="F1587" t="s">
        <v>8562</v>
      </c>
      <c r="G1587" t="s">
        <v>8641</v>
      </c>
      <c r="H1587">
        <v>-8</v>
      </c>
      <c r="I1587">
        <v>-1.25</v>
      </c>
      <c r="J1587">
        <v>180</v>
      </c>
      <c r="L1587" t="s">
        <v>7330</v>
      </c>
      <c r="M1587" t="s">
        <v>7330</v>
      </c>
      <c r="N1587">
        <v>156</v>
      </c>
      <c r="P1587">
        <v>0</v>
      </c>
      <c r="Q1587">
        <v>156</v>
      </c>
      <c r="R1587" t="s">
        <v>7927</v>
      </c>
      <c r="S1587">
        <v>0</v>
      </c>
    </row>
    <row r="1588" spans="1:19">
      <c r="A1588" t="s">
        <v>7334</v>
      </c>
      <c r="B1588">
        <v>103</v>
      </c>
      <c r="C1588" t="s">
        <v>7328</v>
      </c>
      <c r="D1588" t="s">
        <v>8560</v>
      </c>
      <c r="E1588" t="s">
        <v>8642</v>
      </c>
      <c r="F1588" t="s">
        <v>8562</v>
      </c>
      <c r="G1588" t="s">
        <v>8643</v>
      </c>
      <c r="H1588">
        <v>-8</v>
      </c>
      <c r="I1588">
        <v>-1.75</v>
      </c>
      <c r="J1588">
        <v>180</v>
      </c>
      <c r="L1588" t="s">
        <v>7330</v>
      </c>
      <c r="M1588" t="s">
        <v>7330</v>
      </c>
      <c r="N1588">
        <v>175</v>
      </c>
      <c r="P1588">
        <v>0</v>
      </c>
      <c r="Q1588">
        <v>175</v>
      </c>
      <c r="R1588" t="s">
        <v>7927</v>
      </c>
      <c r="S1588">
        <v>0</v>
      </c>
    </row>
    <row r="1589" spans="1:19">
      <c r="A1589" t="s">
        <v>7334</v>
      </c>
      <c r="B1589">
        <v>103</v>
      </c>
      <c r="C1589" t="s">
        <v>7328</v>
      </c>
      <c r="D1589" t="s">
        <v>8960</v>
      </c>
      <c r="E1589" t="s">
        <v>8961</v>
      </c>
      <c r="F1589" t="s">
        <v>8962</v>
      </c>
      <c r="G1589">
        <v>0</v>
      </c>
      <c r="H1589">
        <v>0</v>
      </c>
      <c r="L1589" t="s">
        <v>7330</v>
      </c>
      <c r="M1589" t="s">
        <v>7330</v>
      </c>
      <c r="N1589">
        <v>678</v>
      </c>
      <c r="P1589">
        <v>205</v>
      </c>
      <c r="Q1589">
        <v>473</v>
      </c>
      <c r="R1589" t="s">
        <v>7331</v>
      </c>
      <c r="S1589">
        <v>0</v>
      </c>
    </row>
    <row r="1590" spans="1:19">
      <c r="A1590" t="s">
        <v>7334</v>
      </c>
      <c r="B1590">
        <v>103</v>
      </c>
      <c r="C1590" t="s">
        <v>7328</v>
      </c>
      <c r="D1590" t="s">
        <v>8960</v>
      </c>
      <c r="E1590" t="s">
        <v>8963</v>
      </c>
      <c r="F1590" t="s">
        <v>8962</v>
      </c>
      <c r="G1590">
        <v>-1</v>
      </c>
      <c r="H1590">
        <v>-1</v>
      </c>
      <c r="L1590" t="s">
        <v>7330</v>
      </c>
      <c r="M1590" t="s">
        <v>7330</v>
      </c>
      <c r="N1590">
        <v>720</v>
      </c>
      <c r="P1590">
        <v>17</v>
      </c>
      <c r="Q1590">
        <v>703</v>
      </c>
      <c r="R1590" t="s">
        <v>7331</v>
      </c>
      <c r="S1590">
        <v>0</v>
      </c>
    </row>
    <row r="1591" spans="1:19">
      <c r="A1591" t="s">
        <v>7334</v>
      </c>
      <c r="B1591">
        <v>103</v>
      </c>
      <c r="C1591" t="s">
        <v>7328</v>
      </c>
      <c r="D1591" t="s">
        <v>8960</v>
      </c>
      <c r="E1591" t="s">
        <v>8964</v>
      </c>
      <c r="F1591" t="s">
        <v>8962</v>
      </c>
      <c r="G1591">
        <v>-1.25</v>
      </c>
      <c r="H1591">
        <v>-1.25</v>
      </c>
      <c r="L1591" t="s">
        <v>7330</v>
      </c>
      <c r="M1591" t="s">
        <v>7330</v>
      </c>
      <c r="N1591">
        <v>518</v>
      </c>
      <c r="P1591">
        <v>19</v>
      </c>
      <c r="Q1591">
        <v>499</v>
      </c>
      <c r="R1591" t="s">
        <v>7331</v>
      </c>
      <c r="S1591">
        <v>0</v>
      </c>
    </row>
    <row r="1592" spans="1:19">
      <c r="A1592" t="s">
        <v>7334</v>
      </c>
      <c r="B1592">
        <v>103</v>
      </c>
      <c r="C1592" t="s">
        <v>7328</v>
      </c>
      <c r="D1592" t="s">
        <v>8960</v>
      </c>
      <c r="E1592" t="s">
        <v>8965</v>
      </c>
      <c r="F1592" t="s">
        <v>8962</v>
      </c>
      <c r="G1592">
        <v>-1.5</v>
      </c>
      <c r="H1592">
        <v>-1.5</v>
      </c>
      <c r="L1592" t="s">
        <v>7330</v>
      </c>
      <c r="M1592" t="s">
        <v>7330</v>
      </c>
      <c r="N1592">
        <v>688</v>
      </c>
      <c r="P1592">
        <v>17</v>
      </c>
      <c r="Q1592">
        <v>671</v>
      </c>
      <c r="R1592" t="s">
        <v>7331</v>
      </c>
      <c r="S1592">
        <v>0</v>
      </c>
    </row>
    <row r="1593" spans="1:19">
      <c r="A1593" t="s">
        <v>7334</v>
      </c>
      <c r="B1593">
        <v>103</v>
      </c>
      <c r="C1593" t="s">
        <v>7328</v>
      </c>
      <c r="D1593" t="s">
        <v>8960</v>
      </c>
      <c r="E1593" t="s">
        <v>8966</v>
      </c>
      <c r="F1593" t="s">
        <v>8962</v>
      </c>
      <c r="G1593">
        <v>-1.75</v>
      </c>
      <c r="H1593">
        <v>-1.75</v>
      </c>
      <c r="L1593" t="s">
        <v>7330</v>
      </c>
      <c r="M1593" t="s">
        <v>7330</v>
      </c>
      <c r="N1593">
        <v>560</v>
      </c>
      <c r="P1593">
        <v>15</v>
      </c>
      <c r="Q1593">
        <v>545</v>
      </c>
      <c r="R1593" t="s">
        <v>7331</v>
      </c>
      <c r="S1593">
        <v>0</v>
      </c>
    </row>
    <row r="1594" spans="1:19">
      <c r="A1594" t="s">
        <v>7334</v>
      </c>
      <c r="B1594">
        <v>103</v>
      </c>
      <c r="C1594" t="s">
        <v>7328</v>
      </c>
      <c r="D1594" t="s">
        <v>8960</v>
      </c>
      <c r="E1594" t="s">
        <v>8967</v>
      </c>
      <c r="F1594" t="s">
        <v>8962</v>
      </c>
      <c r="G1594">
        <v>-2</v>
      </c>
      <c r="H1594">
        <v>-2</v>
      </c>
      <c r="L1594" t="s">
        <v>7330</v>
      </c>
      <c r="M1594" t="s">
        <v>7330</v>
      </c>
      <c r="N1594">
        <v>777</v>
      </c>
      <c r="P1594">
        <v>15</v>
      </c>
      <c r="Q1594">
        <v>762</v>
      </c>
      <c r="R1594" t="s">
        <v>7331</v>
      </c>
      <c r="S1594">
        <v>0</v>
      </c>
    </row>
    <row r="1595" spans="1:19">
      <c r="A1595" t="s">
        <v>7334</v>
      </c>
      <c r="B1595">
        <v>103</v>
      </c>
      <c r="C1595" t="s">
        <v>7328</v>
      </c>
      <c r="D1595" t="s">
        <v>8960</v>
      </c>
      <c r="E1595" t="s">
        <v>8968</v>
      </c>
      <c r="F1595" t="s">
        <v>8962</v>
      </c>
      <c r="G1595">
        <v>-2.25</v>
      </c>
      <c r="H1595">
        <v>-2.25</v>
      </c>
      <c r="L1595" t="s">
        <v>7330</v>
      </c>
      <c r="M1595" t="s">
        <v>7330</v>
      </c>
      <c r="N1595">
        <v>686</v>
      </c>
      <c r="P1595">
        <v>21</v>
      </c>
      <c r="Q1595">
        <v>665</v>
      </c>
      <c r="R1595" t="s">
        <v>7331</v>
      </c>
      <c r="S1595">
        <v>0</v>
      </c>
    </row>
    <row r="1596" spans="1:19">
      <c r="A1596" t="s">
        <v>7334</v>
      </c>
      <c r="B1596">
        <v>103</v>
      </c>
      <c r="C1596" t="s">
        <v>7328</v>
      </c>
      <c r="D1596" t="s">
        <v>8960</v>
      </c>
      <c r="E1596" t="s">
        <v>8969</v>
      </c>
      <c r="F1596" t="s">
        <v>8962</v>
      </c>
      <c r="G1596">
        <v>-2.5</v>
      </c>
      <c r="H1596">
        <v>-2.5</v>
      </c>
      <c r="L1596" t="s">
        <v>7330</v>
      </c>
      <c r="M1596" t="s">
        <v>7330</v>
      </c>
      <c r="N1596">
        <v>683</v>
      </c>
      <c r="P1596">
        <v>16</v>
      </c>
      <c r="Q1596">
        <v>667</v>
      </c>
      <c r="R1596" t="s">
        <v>7331</v>
      </c>
      <c r="S1596">
        <v>0</v>
      </c>
    </row>
    <row r="1597" spans="1:19">
      <c r="A1597" t="s">
        <v>7334</v>
      </c>
      <c r="B1597">
        <v>103</v>
      </c>
      <c r="C1597" t="s">
        <v>7328</v>
      </c>
      <c r="D1597" t="s">
        <v>8960</v>
      </c>
      <c r="E1597" t="s">
        <v>8970</v>
      </c>
      <c r="F1597" t="s">
        <v>8962</v>
      </c>
      <c r="G1597">
        <v>-2.75</v>
      </c>
      <c r="H1597">
        <v>-2.75</v>
      </c>
      <c r="L1597" t="s">
        <v>7330</v>
      </c>
      <c r="M1597" t="s">
        <v>7330</v>
      </c>
      <c r="N1597">
        <v>592</v>
      </c>
      <c r="P1597">
        <v>19</v>
      </c>
      <c r="Q1597">
        <v>573</v>
      </c>
      <c r="R1597" t="s">
        <v>7331</v>
      </c>
      <c r="S1597">
        <v>0</v>
      </c>
    </row>
    <row r="1598" spans="1:19">
      <c r="A1598" t="s">
        <v>7334</v>
      </c>
      <c r="B1598">
        <v>103</v>
      </c>
      <c r="C1598" t="s">
        <v>7328</v>
      </c>
      <c r="D1598" t="s">
        <v>8960</v>
      </c>
      <c r="E1598" t="s">
        <v>8971</v>
      </c>
      <c r="F1598" t="s">
        <v>8962</v>
      </c>
      <c r="G1598">
        <v>-3</v>
      </c>
      <c r="H1598">
        <v>-3</v>
      </c>
      <c r="L1598" t="s">
        <v>7330</v>
      </c>
      <c r="M1598" t="s">
        <v>7330</v>
      </c>
      <c r="N1598">
        <v>279</v>
      </c>
      <c r="P1598">
        <v>15</v>
      </c>
      <c r="Q1598">
        <v>264</v>
      </c>
      <c r="R1598" t="s">
        <v>7331</v>
      </c>
      <c r="S1598">
        <v>0</v>
      </c>
    </row>
    <row r="1599" spans="1:19">
      <c r="A1599" t="s">
        <v>7334</v>
      </c>
      <c r="B1599">
        <v>103</v>
      </c>
      <c r="C1599" t="s">
        <v>7328</v>
      </c>
      <c r="D1599" t="s">
        <v>8960</v>
      </c>
      <c r="E1599" t="s">
        <v>8972</v>
      </c>
      <c r="F1599" t="s">
        <v>8962</v>
      </c>
      <c r="G1599">
        <v>-3.25</v>
      </c>
      <c r="H1599">
        <v>-3.25</v>
      </c>
      <c r="L1599" t="s">
        <v>7330</v>
      </c>
      <c r="M1599" t="s">
        <v>7330</v>
      </c>
      <c r="N1599">
        <v>623</v>
      </c>
      <c r="P1599">
        <v>15</v>
      </c>
      <c r="Q1599">
        <v>608</v>
      </c>
      <c r="R1599" t="s">
        <v>7331</v>
      </c>
      <c r="S1599">
        <v>0</v>
      </c>
    </row>
    <row r="1600" spans="1:19">
      <c r="A1600" t="s">
        <v>7334</v>
      </c>
      <c r="B1600">
        <v>103</v>
      </c>
      <c r="C1600" t="s">
        <v>7328</v>
      </c>
      <c r="D1600" t="s">
        <v>8960</v>
      </c>
      <c r="E1600" t="s">
        <v>8973</v>
      </c>
      <c r="F1600" t="s">
        <v>8962</v>
      </c>
      <c r="G1600">
        <v>-3.5</v>
      </c>
      <c r="H1600">
        <v>-3.5</v>
      </c>
      <c r="L1600" t="s">
        <v>7330</v>
      </c>
      <c r="M1600" t="s">
        <v>7330</v>
      </c>
      <c r="N1600">
        <v>707</v>
      </c>
      <c r="P1600">
        <v>15</v>
      </c>
      <c r="Q1600">
        <v>692</v>
      </c>
      <c r="R1600" t="s">
        <v>7331</v>
      </c>
      <c r="S1600">
        <v>0</v>
      </c>
    </row>
    <row r="1601" spans="1:19">
      <c r="A1601" t="s">
        <v>7334</v>
      </c>
      <c r="B1601">
        <v>103</v>
      </c>
      <c r="C1601" t="s">
        <v>7328</v>
      </c>
      <c r="D1601" t="s">
        <v>8960</v>
      </c>
      <c r="E1601" t="s">
        <v>8974</v>
      </c>
      <c r="F1601" t="s">
        <v>8962</v>
      </c>
      <c r="G1601">
        <v>-3.75</v>
      </c>
      <c r="H1601">
        <v>-3.75</v>
      </c>
      <c r="L1601" t="s">
        <v>7330</v>
      </c>
      <c r="M1601" t="s">
        <v>7330</v>
      </c>
      <c r="N1601">
        <v>615</v>
      </c>
      <c r="P1601">
        <v>15</v>
      </c>
      <c r="Q1601">
        <v>600</v>
      </c>
      <c r="R1601" t="s">
        <v>7331</v>
      </c>
      <c r="S1601">
        <v>0</v>
      </c>
    </row>
    <row r="1602" spans="1:19">
      <c r="A1602" t="s">
        <v>7334</v>
      </c>
      <c r="B1602">
        <v>103</v>
      </c>
      <c r="C1602" t="s">
        <v>7328</v>
      </c>
      <c r="D1602" t="s">
        <v>8960</v>
      </c>
      <c r="E1602" t="s">
        <v>8975</v>
      </c>
      <c r="F1602" t="s">
        <v>8962</v>
      </c>
      <c r="G1602">
        <v>-4</v>
      </c>
      <c r="H1602">
        <v>-4</v>
      </c>
      <c r="L1602" t="s">
        <v>7330</v>
      </c>
      <c r="M1602" t="s">
        <v>7330</v>
      </c>
      <c r="N1602">
        <v>643</v>
      </c>
      <c r="P1602">
        <v>15</v>
      </c>
      <c r="Q1602">
        <v>628</v>
      </c>
      <c r="R1602" t="s">
        <v>7331</v>
      </c>
      <c r="S1602">
        <v>0</v>
      </c>
    </row>
    <row r="1603" spans="1:19">
      <c r="A1603" t="s">
        <v>7334</v>
      </c>
      <c r="B1603">
        <v>103</v>
      </c>
      <c r="C1603" t="s">
        <v>7328</v>
      </c>
      <c r="D1603" t="s">
        <v>8960</v>
      </c>
      <c r="E1603" t="s">
        <v>8976</v>
      </c>
      <c r="F1603" t="s">
        <v>8962</v>
      </c>
      <c r="G1603">
        <v>-4.25</v>
      </c>
      <c r="H1603">
        <v>-4.25</v>
      </c>
      <c r="L1603" t="s">
        <v>7330</v>
      </c>
      <c r="M1603" t="s">
        <v>7330</v>
      </c>
      <c r="N1603">
        <v>599</v>
      </c>
      <c r="P1603">
        <v>15</v>
      </c>
      <c r="Q1603">
        <v>584</v>
      </c>
      <c r="R1603" t="s">
        <v>7331</v>
      </c>
      <c r="S1603">
        <v>0</v>
      </c>
    </row>
    <row r="1604" spans="1:19">
      <c r="A1604" t="s">
        <v>7334</v>
      </c>
      <c r="B1604">
        <v>103</v>
      </c>
      <c r="C1604" t="s">
        <v>7328</v>
      </c>
      <c r="D1604" t="s">
        <v>8960</v>
      </c>
      <c r="E1604" t="s">
        <v>8977</v>
      </c>
      <c r="F1604" t="s">
        <v>8962</v>
      </c>
      <c r="G1604">
        <v>-4.5</v>
      </c>
      <c r="H1604">
        <v>-4.5</v>
      </c>
      <c r="L1604" t="s">
        <v>7330</v>
      </c>
      <c r="M1604" t="s">
        <v>7330</v>
      </c>
      <c r="N1604">
        <v>606</v>
      </c>
      <c r="P1604">
        <v>15</v>
      </c>
      <c r="Q1604">
        <v>591</v>
      </c>
      <c r="R1604" t="s">
        <v>7331</v>
      </c>
      <c r="S1604">
        <v>0</v>
      </c>
    </row>
    <row r="1605" spans="1:19">
      <c r="A1605" t="s">
        <v>7334</v>
      </c>
      <c r="B1605">
        <v>103</v>
      </c>
      <c r="C1605" t="s">
        <v>7328</v>
      </c>
      <c r="D1605" t="s">
        <v>8960</v>
      </c>
      <c r="E1605" t="s">
        <v>8978</v>
      </c>
      <c r="F1605" t="s">
        <v>8962</v>
      </c>
      <c r="G1605">
        <v>-4.75</v>
      </c>
      <c r="H1605">
        <v>-4.75</v>
      </c>
      <c r="L1605" t="s">
        <v>7330</v>
      </c>
      <c r="M1605" t="s">
        <v>7330</v>
      </c>
      <c r="N1605">
        <v>585</v>
      </c>
      <c r="P1605">
        <v>15</v>
      </c>
      <c r="Q1605">
        <v>570</v>
      </c>
      <c r="R1605" t="s">
        <v>7331</v>
      </c>
      <c r="S1605">
        <v>0</v>
      </c>
    </row>
    <row r="1606" spans="1:19">
      <c r="A1606" t="s">
        <v>7334</v>
      </c>
      <c r="B1606">
        <v>103</v>
      </c>
      <c r="C1606" t="s">
        <v>7328</v>
      </c>
      <c r="D1606" t="s">
        <v>8960</v>
      </c>
      <c r="E1606" t="s">
        <v>8979</v>
      </c>
      <c r="F1606" t="s">
        <v>8962</v>
      </c>
      <c r="G1606">
        <v>-5</v>
      </c>
      <c r="H1606">
        <v>-5</v>
      </c>
      <c r="L1606" t="s">
        <v>7330</v>
      </c>
      <c r="M1606" t="s">
        <v>7330</v>
      </c>
      <c r="N1606">
        <v>684</v>
      </c>
      <c r="P1606">
        <v>15</v>
      </c>
      <c r="Q1606">
        <v>669</v>
      </c>
      <c r="R1606" t="s">
        <v>7331</v>
      </c>
      <c r="S1606">
        <v>0</v>
      </c>
    </row>
    <row r="1607" spans="1:19">
      <c r="A1607" t="s">
        <v>7334</v>
      </c>
      <c r="B1607">
        <v>103</v>
      </c>
      <c r="C1607" t="s">
        <v>7328</v>
      </c>
      <c r="D1607" t="s">
        <v>8960</v>
      </c>
      <c r="E1607" t="s">
        <v>8980</v>
      </c>
      <c r="F1607" t="s">
        <v>8962</v>
      </c>
      <c r="G1607">
        <v>-5.5</v>
      </c>
      <c r="H1607">
        <v>-5.5</v>
      </c>
      <c r="L1607" t="s">
        <v>7330</v>
      </c>
      <c r="M1607" t="s">
        <v>7330</v>
      </c>
      <c r="N1607">
        <v>659</v>
      </c>
      <c r="P1607">
        <v>15</v>
      </c>
      <c r="Q1607">
        <v>644</v>
      </c>
      <c r="R1607" t="s">
        <v>7331</v>
      </c>
      <c r="S1607">
        <v>0</v>
      </c>
    </row>
    <row r="1608" spans="1:19">
      <c r="A1608" t="s">
        <v>7334</v>
      </c>
      <c r="B1608">
        <v>103</v>
      </c>
      <c r="C1608" t="s">
        <v>7328</v>
      </c>
      <c r="D1608" t="s">
        <v>8960</v>
      </c>
      <c r="E1608" t="s">
        <v>8981</v>
      </c>
      <c r="F1608" t="s">
        <v>8962</v>
      </c>
      <c r="G1608">
        <v>-6</v>
      </c>
      <c r="H1608">
        <v>-6</v>
      </c>
      <c r="L1608" t="s">
        <v>7330</v>
      </c>
      <c r="M1608" t="s">
        <v>7330</v>
      </c>
      <c r="N1608">
        <v>716</v>
      </c>
      <c r="P1608">
        <v>20</v>
      </c>
      <c r="Q1608">
        <v>696</v>
      </c>
      <c r="R1608" t="s">
        <v>7331</v>
      </c>
      <c r="S1608">
        <v>0</v>
      </c>
    </row>
    <row r="1609" spans="1:19">
      <c r="A1609" t="s">
        <v>7334</v>
      </c>
      <c r="B1609">
        <v>103</v>
      </c>
      <c r="C1609" t="s">
        <v>7328</v>
      </c>
      <c r="D1609" t="s">
        <v>8960</v>
      </c>
      <c r="E1609" t="s">
        <v>8982</v>
      </c>
      <c r="F1609" t="s">
        <v>8962</v>
      </c>
      <c r="G1609">
        <v>-6.5</v>
      </c>
      <c r="H1609">
        <v>-6.5</v>
      </c>
      <c r="L1609" t="s">
        <v>7330</v>
      </c>
      <c r="M1609" t="s">
        <v>7330</v>
      </c>
      <c r="N1609">
        <v>615</v>
      </c>
      <c r="P1609">
        <v>15</v>
      </c>
      <c r="Q1609">
        <v>600</v>
      </c>
      <c r="R1609" t="s">
        <v>7331</v>
      </c>
      <c r="S1609">
        <v>0</v>
      </c>
    </row>
    <row r="1610" spans="1:19">
      <c r="A1610" t="s">
        <v>7334</v>
      </c>
      <c r="B1610">
        <v>103</v>
      </c>
      <c r="C1610" t="s">
        <v>7328</v>
      </c>
      <c r="D1610" t="s">
        <v>8960</v>
      </c>
      <c r="E1610" t="s">
        <v>8983</v>
      </c>
      <c r="F1610" t="s">
        <v>8962</v>
      </c>
      <c r="G1610">
        <v>-7</v>
      </c>
      <c r="H1610">
        <v>-7</v>
      </c>
      <c r="L1610" t="s">
        <v>7330</v>
      </c>
      <c r="M1610" t="s">
        <v>7330</v>
      </c>
      <c r="N1610">
        <v>600</v>
      </c>
      <c r="P1610">
        <v>15</v>
      </c>
      <c r="Q1610">
        <v>585</v>
      </c>
      <c r="R1610" t="s">
        <v>7331</v>
      </c>
      <c r="S1610">
        <v>0</v>
      </c>
    </row>
    <row r="1611" spans="1:19">
      <c r="A1611" t="s">
        <v>7334</v>
      </c>
      <c r="B1611">
        <v>103</v>
      </c>
      <c r="C1611" t="s">
        <v>7328</v>
      </c>
      <c r="D1611" t="s">
        <v>8960</v>
      </c>
      <c r="E1611" t="s">
        <v>8984</v>
      </c>
      <c r="F1611" t="s">
        <v>8962</v>
      </c>
      <c r="G1611">
        <v>-7.5</v>
      </c>
      <c r="H1611">
        <v>-7.5</v>
      </c>
      <c r="L1611" t="s">
        <v>7330</v>
      </c>
      <c r="M1611" t="s">
        <v>7330</v>
      </c>
      <c r="N1611">
        <v>266</v>
      </c>
      <c r="P1611">
        <v>15</v>
      </c>
      <c r="Q1611">
        <v>251</v>
      </c>
      <c r="R1611" t="s">
        <v>7331</v>
      </c>
      <c r="S1611">
        <v>0</v>
      </c>
    </row>
    <row r="1612" spans="1:19">
      <c r="A1612" t="s">
        <v>7334</v>
      </c>
      <c r="B1612">
        <v>103</v>
      </c>
      <c r="C1612" t="s">
        <v>7328</v>
      </c>
      <c r="D1612" t="s">
        <v>8960</v>
      </c>
      <c r="E1612" t="s">
        <v>8985</v>
      </c>
      <c r="F1612" t="s">
        <v>8962</v>
      </c>
      <c r="G1612">
        <v>-8</v>
      </c>
      <c r="H1612">
        <v>-8</v>
      </c>
      <c r="L1612" t="s">
        <v>7330</v>
      </c>
      <c r="M1612" t="s">
        <v>7330</v>
      </c>
      <c r="N1612">
        <v>214</v>
      </c>
      <c r="P1612">
        <v>15</v>
      </c>
      <c r="Q1612">
        <v>199</v>
      </c>
      <c r="R1612" t="s">
        <v>7331</v>
      </c>
      <c r="S1612">
        <v>0</v>
      </c>
    </row>
    <row r="1613" spans="1:19">
      <c r="A1613" t="s">
        <v>7334</v>
      </c>
      <c r="B1613">
        <v>103</v>
      </c>
      <c r="C1613" t="s">
        <v>7328</v>
      </c>
      <c r="D1613" t="s">
        <v>9184</v>
      </c>
      <c r="E1613" t="s">
        <v>6540</v>
      </c>
      <c r="F1613" t="s">
        <v>9185</v>
      </c>
      <c r="G1613">
        <v>-5.5</v>
      </c>
      <c r="H1613">
        <v>-5.5</v>
      </c>
      <c r="L1613" t="s">
        <v>9186</v>
      </c>
      <c r="M1613" t="s">
        <v>9186</v>
      </c>
      <c r="O1613">
        <v>1</v>
      </c>
      <c r="P1613">
        <v>1</v>
      </c>
      <c r="R1613" t="s">
        <v>7331</v>
      </c>
      <c r="S1613">
        <v>0</v>
      </c>
    </row>
    <row r="1614" spans="1:19">
      <c r="A1614" t="s">
        <v>7334</v>
      </c>
      <c r="B1614">
        <v>103</v>
      </c>
      <c r="C1614" t="s">
        <v>7328</v>
      </c>
      <c r="D1614" t="s">
        <v>9184</v>
      </c>
      <c r="E1614" t="s">
        <v>6540</v>
      </c>
      <c r="F1614" t="s">
        <v>9185</v>
      </c>
      <c r="G1614">
        <v>-5.5</v>
      </c>
      <c r="H1614">
        <v>-5.5</v>
      </c>
      <c r="L1614" t="s">
        <v>9187</v>
      </c>
      <c r="M1614" t="s">
        <v>9187</v>
      </c>
      <c r="O1614">
        <v>1</v>
      </c>
      <c r="P1614">
        <v>1</v>
      </c>
      <c r="R1614" t="s">
        <v>7331</v>
      </c>
      <c r="S1614">
        <v>0</v>
      </c>
    </row>
    <row r="1615" spans="1:19">
      <c r="A1615" t="s">
        <v>7334</v>
      </c>
      <c r="B1615">
        <v>103</v>
      </c>
      <c r="C1615" t="s">
        <v>7328</v>
      </c>
      <c r="D1615" t="s">
        <v>9184</v>
      </c>
      <c r="E1615" t="s">
        <v>6543</v>
      </c>
      <c r="F1615" t="s">
        <v>9185</v>
      </c>
      <c r="G1615">
        <v>-7</v>
      </c>
      <c r="H1615">
        <v>-7</v>
      </c>
      <c r="L1615" t="s">
        <v>9188</v>
      </c>
      <c r="M1615" t="s">
        <v>9188</v>
      </c>
      <c r="O1615">
        <v>1</v>
      </c>
      <c r="P1615">
        <v>1</v>
      </c>
      <c r="R1615" t="s">
        <v>7331</v>
      </c>
      <c r="S1615">
        <v>0</v>
      </c>
    </row>
    <row r="1616" spans="1:19">
      <c r="A1616" t="s">
        <v>7334</v>
      </c>
      <c r="B1616">
        <v>103</v>
      </c>
      <c r="C1616" t="s">
        <v>7328</v>
      </c>
      <c r="D1616" t="s">
        <v>9184</v>
      </c>
      <c r="E1616" t="s">
        <v>6543</v>
      </c>
      <c r="F1616" t="s">
        <v>9185</v>
      </c>
      <c r="G1616">
        <v>-7</v>
      </c>
      <c r="H1616">
        <v>-7</v>
      </c>
      <c r="L1616" t="s">
        <v>9189</v>
      </c>
      <c r="M1616" t="s">
        <v>9189</v>
      </c>
      <c r="O1616">
        <v>1</v>
      </c>
      <c r="P1616">
        <v>1</v>
      </c>
      <c r="R1616" t="s">
        <v>7331</v>
      </c>
      <c r="S1616">
        <v>0</v>
      </c>
    </row>
    <row r="1617" spans="1:19">
      <c r="A1617" t="s">
        <v>7334</v>
      </c>
      <c r="B1617">
        <v>103</v>
      </c>
      <c r="C1617" t="s">
        <v>7328</v>
      </c>
      <c r="D1617" t="s">
        <v>7399</v>
      </c>
      <c r="E1617" t="s">
        <v>7551</v>
      </c>
      <c r="F1617" t="s">
        <v>7401</v>
      </c>
      <c r="G1617">
        <v>0</v>
      </c>
      <c r="H1617">
        <v>0</v>
      </c>
      <c r="L1617" t="s">
        <v>7330</v>
      </c>
      <c r="M1617" t="s">
        <v>7330</v>
      </c>
      <c r="N1617">
        <v>179</v>
      </c>
      <c r="P1617">
        <v>179</v>
      </c>
      <c r="R1617" t="s">
        <v>7331</v>
      </c>
      <c r="S1617">
        <v>0</v>
      </c>
    </row>
    <row r="1618" spans="1:19">
      <c r="A1618" t="s">
        <v>7334</v>
      </c>
      <c r="B1618">
        <v>103</v>
      </c>
      <c r="C1618" t="s">
        <v>7328</v>
      </c>
      <c r="D1618" t="s">
        <v>7399</v>
      </c>
      <c r="E1618" t="s">
        <v>9165</v>
      </c>
      <c r="F1618" t="s">
        <v>7401</v>
      </c>
      <c r="G1618">
        <v>-0.5</v>
      </c>
      <c r="H1618">
        <v>-0.5</v>
      </c>
      <c r="L1618" t="s">
        <v>7330</v>
      </c>
      <c r="M1618" t="s">
        <v>7330</v>
      </c>
      <c r="P1618">
        <v>0</v>
      </c>
      <c r="R1618" t="s">
        <v>7331</v>
      </c>
      <c r="S1618">
        <v>0</v>
      </c>
    </row>
    <row r="1619" spans="1:19">
      <c r="A1619" t="s">
        <v>7334</v>
      </c>
      <c r="B1619">
        <v>103</v>
      </c>
      <c r="C1619" t="s">
        <v>7328</v>
      </c>
      <c r="D1619" t="s">
        <v>7399</v>
      </c>
      <c r="E1619" t="s">
        <v>7552</v>
      </c>
      <c r="F1619" t="s">
        <v>7401</v>
      </c>
      <c r="G1619">
        <v>-1</v>
      </c>
      <c r="H1619">
        <v>-1</v>
      </c>
      <c r="L1619" t="s">
        <v>7330</v>
      </c>
      <c r="M1619" t="s">
        <v>7330</v>
      </c>
      <c r="N1619">
        <v>32</v>
      </c>
      <c r="P1619">
        <v>32</v>
      </c>
      <c r="R1619" t="s">
        <v>7331</v>
      </c>
      <c r="S1619">
        <v>0</v>
      </c>
    </row>
    <row r="1620" spans="1:19">
      <c r="A1620" t="s">
        <v>7334</v>
      </c>
      <c r="B1620">
        <v>103</v>
      </c>
      <c r="C1620" t="s">
        <v>7328</v>
      </c>
      <c r="D1620" t="s">
        <v>7399</v>
      </c>
      <c r="E1620" t="s">
        <v>7571</v>
      </c>
      <c r="F1620" t="s">
        <v>7401</v>
      </c>
      <c r="G1620">
        <v>-1.25</v>
      </c>
      <c r="H1620">
        <v>-1.25</v>
      </c>
      <c r="L1620" t="s">
        <v>7330</v>
      </c>
      <c r="M1620" t="s">
        <v>7330</v>
      </c>
      <c r="N1620">
        <v>33</v>
      </c>
      <c r="P1620">
        <v>33</v>
      </c>
      <c r="R1620" t="s">
        <v>7331</v>
      </c>
      <c r="S1620">
        <v>0</v>
      </c>
    </row>
    <row r="1621" spans="1:19">
      <c r="A1621" t="s">
        <v>7334</v>
      </c>
      <c r="B1621">
        <v>103</v>
      </c>
      <c r="C1621" t="s">
        <v>7328</v>
      </c>
      <c r="D1621" t="s">
        <v>7399</v>
      </c>
      <c r="E1621" t="s">
        <v>7572</v>
      </c>
      <c r="F1621" t="s">
        <v>7401</v>
      </c>
      <c r="G1621">
        <v>-1.75</v>
      </c>
      <c r="H1621">
        <v>-1.75</v>
      </c>
      <c r="L1621" t="s">
        <v>7330</v>
      </c>
      <c r="M1621" t="s">
        <v>7330</v>
      </c>
      <c r="N1621">
        <v>38</v>
      </c>
      <c r="P1621">
        <v>38</v>
      </c>
      <c r="R1621" t="s">
        <v>7331</v>
      </c>
      <c r="S1621">
        <v>0</v>
      </c>
    </row>
    <row r="1622" spans="1:19">
      <c r="A1622" t="s">
        <v>7334</v>
      </c>
      <c r="B1622">
        <v>103</v>
      </c>
      <c r="C1622" t="s">
        <v>7328</v>
      </c>
      <c r="D1622" t="s">
        <v>7399</v>
      </c>
      <c r="E1622" t="s">
        <v>7553</v>
      </c>
      <c r="F1622" t="s">
        <v>7401</v>
      </c>
      <c r="G1622">
        <v>-2</v>
      </c>
      <c r="H1622">
        <v>-2</v>
      </c>
      <c r="L1622" t="s">
        <v>7330</v>
      </c>
      <c r="M1622" t="s">
        <v>7330</v>
      </c>
      <c r="N1622">
        <v>37</v>
      </c>
      <c r="P1622">
        <v>37</v>
      </c>
      <c r="R1622" t="s">
        <v>7331</v>
      </c>
      <c r="S1622">
        <v>0</v>
      </c>
    </row>
    <row r="1623" spans="1:19">
      <c r="A1623" t="s">
        <v>7334</v>
      </c>
      <c r="B1623">
        <v>103</v>
      </c>
      <c r="C1623" t="s">
        <v>7328</v>
      </c>
      <c r="D1623" t="s">
        <v>7399</v>
      </c>
      <c r="E1623" t="s">
        <v>7554</v>
      </c>
      <c r="F1623" t="s">
        <v>7401</v>
      </c>
      <c r="G1623">
        <v>-2.25</v>
      </c>
      <c r="H1623">
        <v>-2.25</v>
      </c>
      <c r="L1623" t="s">
        <v>7330</v>
      </c>
      <c r="M1623" t="s">
        <v>7330</v>
      </c>
      <c r="N1623">
        <v>91</v>
      </c>
      <c r="P1623">
        <v>91</v>
      </c>
      <c r="R1623" t="s">
        <v>7331</v>
      </c>
      <c r="S1623">
        <v>0</v>
      </c>
    </row>
    <row r="1624" spans="1:19">
      <c r="A1624" t="s">
        <v>7334</v>
      </c>
      <c r="B1624">
        <v>103</v>
      </c>
      <c r="C1624" t="s">
        <v>7328</v>
      </c>
      <c r="D1624" t="s">
        <v>7399</v>
      </c>
      <c r="E1624" t="s">
        <v>7573</v>
      </c>
      <c r="F1624" t="s">
        <v>7401</v>
      </c>
      <c r="G1624">
        <v>-2.5</v>
      </c>
      <c r="H1624">
        <v>-2.5</v>
      </c>
      <c r="L1624" t="s">
        <v>7330</v>
      </c>
      <c r="M1624" t="s">
        <v>7330</v>
      </c>
      <c r="N1624">
        <v>25</v>
      </c>
      <c r="P1624">
        <v>25</v>
      </c>
      <c r="R1624" t="s">
        <v>7331</v>
      </c>
      <c r="S1624">
        <v>0</v>
      </c>
    </row>
    <row r="1625" spans="1:19">
      <c r="A1625" t="s">
        <v>7334</v>
      </c>
      <c r="B1625">
        <v>103</v>
      </c>
      <c r="C1625" t="s">
        <v>7328</v>
      </c>
      <c r="D1625" t="s">
        <v>7399</v>
      </c>
      <c r="E1625" t="s">
        <v>7574</v>
      </c>
      <c r="F1625" t="s">
        <v>7401</v>
      </c>
      <c r="G1625">
        <v>-2.75</v>
      </c>
      <c r="H1625">
        <v>-2.75</v>
      </c>
      <c r="L1625" t="s">
        <v>7330</v>
      </c>
      <c r="M1625" t="s">
        <v>7330</v>
      </c>
      <c r="N1625">
        <v>88</v>
      </c>
      <c r="P1625">
        <v>88</v>
      </c>
      <c r="R1625" t="s">
        <v>7331</v>
      </c>
      <c r="S1625">
        <v>0</v>
      </c>
    </row>
    <row r="1626" spans="1:19">
      <c r="A1626" t="s">
        <v>7334</v>
      </c>
      <c r="B1626">
        <v>103</v>
      </c>
      <c r="C1626" t="s">
        <v>7328</v>
      </c>
      <c r="D1626" t="s">
        <v>7399</v>
      </c>
      <c r="E1626" t="s">
        <v>7575</v>
      </c>
      <c r="F1626" t="s">
        <v>7401</v>
      </c>
      <c r="G1626">
        <v>-3</v>
      </c>
      <c r="H1626">
        <v>-3</v>
      </c>
      <c r="L1626" t="s">
        <v>7330</v>
      </c>
      <c r="M1626" t="s">
        <v>7330</v>
      </c>
      <c r="N1626">
        <v>118</v>
      </c>
      <c r="P1626">
        <v>118</v>
      </c>
      <c r="R1626" t="s">
        <v>7331</v>
      </c>
      <c r="S1626">
        <v>0</v>
      </c>
    </row>
    <row r="1627" spans="1:19">
      <c r="A1627" t="s">
        <v>7334</v>
      </c>
      <c r="B1627">
        <v>103</v>
      </c>
      <c r="C1627" t="s">
        <v>7328</v>
      </c>
      <c r="D1627" t="s">
        <v>7399</v>
      </c>
      <c r="E1627" t="s">
        <v>7555</v>
      </c>
      <c r="F1627" t="s">
        <v>7401</v>
      </c>
      <c r="G1627">
        <v>-3.25</v>
      </c>
      <c r="H1627">
        <v>-3.25</v>
      </c>
      <c r="L1627" t="s">
        <v>7330</v>
      </c>
      <c r="M1627" t="s">
        <v>7330</v>
      </c>
      <c r="N1627">
        <v>58</v>
      </c>
      <c r="P1627">
        <v>58</v>
      </c>
      <c r="R1627" t="s">
        <v>7331</v>
      </c>
      <c r="S1627">
        <v>0</v>
      </c>
    </row>
    <row r="1628" spans="1:19">
      <c r="A1628" t="s">
        <v>7334</v>
      </c>
      <c r="B1628">
        <v>103</v>
      </c>
      <c r="C1628" t="s">
        <v>7328</v>
      </c>
      <c r="D1628" t="s">
        <v>7399</v>
      </c>
      <c r="E1628" t="s">
        <v>7556</v>
      </c>
      <c r="F1628" t="s">
        <v>7401</v>
      </c>
      <c r="G1628">
        <v>-3.5</v>
      </c>
      <c r="H1628">
        <v>-3.5</v>
      </c>
      <c r="L1628" t="s">
        <v>7330</v>
      </c>
      <c r="M1628" t="s">
        <v>7330</v>
      </c>
      <c r="N1628">
        <v>37</v>
      </c>
      <c r="P1628">
        <v>37</v>
      </c>
      <c r="R1628" t="s">
        <v>7331</v>
      </c>
      <c r="S1628">
        <v>0</v>
      </c>
    </row>
    <row r="1629" spans="1:19">
      <c r="A1629" t="s">
        <v>7334</v>
      </c>
      <c r="B1629">
        <v>103</v>
      </c>
      <c r="C1629" t="s">
        <v>7328</v>
      </c>
      <c r="D1629" t="s">
        <v>7399</v>
      </c>
      <c r="E1629" t="s">
        <v>7576</v>
      </c>
      <c r="F1629" t="s">
        <v>7401</v>
      </c>
      <c r="G1629">
        <v>-3.75</v>
      </c>
      <c r="H1629">
        <v>-3.75</v>
      </c>
      <c r="L1629" t="s">
        <v>7330</v>
      </c>
      <c r="M1629" t="s">
        <v>7330</v>
      </c>
      <c r="N1629">
        <v>8</v>
      </c>
      <c r="O1629">
        <v>2</v>
      </c>
      <c r="P1629">
        <v>10</v>
      </c>
      <c r="R1629" t="s">
        <v>7331</v>
      </c>
      <c r="S1629">
        <v>0</v>
      </c>
    </row>
    <row r="1630" spans="1:19">
      <c r="A1630" t="s">
        <v>7334</v>
      </c>
      <c r="B1630">
        <v>103</v>
      </c>
      <c r="C1630" t="s">
        <v>7328</v>
      </c>
      <c r="D1630" t="s">
        <v>7399</v>
      </c>
      <c r="E1630" t="s">
        <v>7557</v>
      </c>
      <c r="F1630" t="s">
        <v>7401</v>
      </c>
      <c r="G1630">
        <v>-4</v>
      </c>
      <c r="H1630">
        <v>-4</v>
      </c>
      <c r="L1630" t="s">
        <v>7330</v>
      </c>
      <c r="M1630" t="s">
        <v>7330</v>
      </c>
      <c r="N1630">
        <v>36</v>
      </c>
      <c r="P1630">
        <v>36</v>
      </c>
      <c r="R1630" t="s">
        <v>7331</v>
      </c>
      <c r="S1630">
        <v>0</v>
      </c>
    </row>
    <row r="1631" spans="1:19">
      <c r="A1631" t="s">
        <v>7334</v>
      </c>
      <c r="B1631">
        <v>103</v>
      </c>
      <c r="C1631" t="s">
        <v>7328</v>
      </c>
      <c r="D1631" t="s">
        <v>7399</v>
      </c>
      <c r="E1631" t="s">
        <v>7577</v>
      </c>
      <c r="F1631" t="s">
        <v>7401</v>
      </c>
      <c r="G1631">
        <v>-4.25</v>
      </c>
      <c r="H1631">
        <v>-4.25</v>
      </c>
      <c r="L1631" t="s">
        <v>7330</v>
      </c>
      <c r="M1631" t="s">
        <v>7330</v>
      </c>
      <c r="N1631">
        <v>129</v>
      </c>
      <c r="P1631">
        <v>129</v>
      </c>
      <c r="R1631" t="s">
        <v>7331</v>
      </c>
      <c r="S1631">
        <v>0</v>
      </c>
    </row>
    <row r="1632" spans="1:19">
      <c r="A1632" t="s">
        <v>7334</v>
      </c>
      <c r="B1632">
        <v>103</v>
      </c>
      <c r="C1632" t="s">
        <v>7328</v>
      </c>
      <c r="D1632" t="s">
        <v>7399</v>
      </c>
      <c r="E1632" t="s">
        <v>7558</v>
      </c>
      <c r="F1632" t="s">
        <v>7401</v>
      </c>
      <c r="G1632">
        <v>-4.5</v>
      </c>
      <c r="H1632">
        <v>-4.5</v>
      </c>
      <c r="L1632" t="s">
        <v>7330</v>
      </c>
      <c r="M1632" t="s">
        <v>7330</v>
      </c>
      <c r="N1632">
        <v>2</v>
      </c>
      <c r="P1632">
        <v>2</v>
      </c>
      <c r="R1632" t="s">
        <v>7331</v>
      </c>
      <c r="S1632">
        <v>0</v>
      </c>
    </row>
    <row r="1633" spans="1:19">
      <c r="A1633" t="s">
        <v>7334</v>
      </c>
      <c r="B1633">
        <v>103</v>
      </c>
      <c r="C1633" t="s">
        <v>7328</v>
      </c>
      <c r="D1633" t="s">
        <v>7399</v>
      </c>
      <c r="E1633" t="s">
        <v>7559</v>
      </c>
      <c r="F1633" t="s">
        <v>7401</v>
      </c>
      <c r="G1633">
        <v>-4.75</v>
      </c>
      <c r="H1633">
        <v>-4.75</v>
      </c>
      <c r="L1633" t="s">
        <v>7330</v>
      </c>
      <c r="M1633" t="s">
        <v>7330</v>
      </c>
      <c r="N1633">
        <v>3</v>
      </c>
      <c r="P1633">
        <v>3</v>
      </c>
      <c r="R1633" t="s">
        <v>7331</v>
      </c>
      <c r="S1633">
        <v>0</v>
      </c>
    </row>
    <row r="1634" spans="1:19">
      <c r="A1634" t="s">
        <v>7334</v>
      </c>
      <c r="B1634">
        <v>103</v>
      </c>
      <c r="C1634" t="s">
        <v>7328</v>
      </c>
      <c r="D1634" t="s">
        <v>7399</v>
      </c>
      <c r="E1634" t="s">
        <v>7560</v>
      </c>
      <c r="F1634" t="s">
        <v>7401</v>
      </c>
      <c r="G1634">
        <v>-5</v>
      </c>
      <c r="H1634">
        <v>-5</v>
      </c>
      <c r="L1634" t="s">
        <v>7330</v>
      </c>
      <c r="M1634" t="s">
        <v>7330</v>
      </c>
      <c r="N1634">
        <v>9</v>
      </c>
      <c r="P1634">
        <v>9</v>
      </c>
      <c r="R1634" t="s">
        <v>7331</v>
      </c>
      <c r="S1634">
        <v>0</v>
      </c>
    </row>
    <row r="1635" spans="1:19">
      <c r="A1635" t="s">
        <v>7334</v>
      </c>
      <c r="B1635">
        <v>103</v>
      </c>
      <c r="C1635" t="s">
        <v>7328</v>
      </c>
      <c r="D1635" t="s">
        <v>7399</v>
      </c>
      <c r="E1635" t="s">
        <v>7561</v>
      </c>
      <c r="F1635" t="s">
        <v>7401</v>
      </c>
      <c r="G1635">
        <v>-5.5</v>
      </c>
      <c r="H1635">
        <v>-5.5</v>
      </c>
      <c r="L1635" t="s">
        <v>7330</v>
      </c>
      <c r="M1635" t="s">
        <v>7330</v>
      </c>
      <c r="N1635">
        <v>60</v>
      </c>
      <c r="P1635">
        <v>60</v>
      </c>
      <c r="R1635" t="s">
        <v>7331</v>
      </c>
      <c r="S1635">
        <v>0</v>
      </c>
    </row>
    <row r="1636" spans="1:19">
      <c r="A1636" t="s">
        <v>7334</v>
      </c>
      <c r="B1636">
        <v>103</v>
      </c>
      <c r="C1636" t="s">
        <v>7328</v>
      </c>
      <c r="D1636" t="s">
        <v>7399</v>
      </c>
      <c r="E1636" t="s">
        <v>7562</v>
      </c>
      <c r="F1636" t="s">
        <v>7401</v>
      </c>
      <c r="G1636">
        <v>-6</v>
      </c>
      <c r="H1636">
        <v>-6</v>
      </c>
      <c r="L1636" t="s">
        <v>7330</v>
      </c>
      <c r="M1636" t="s">
        <v>7330</v>
      </c>
      <c r="N1636">
        <v>32</v>
      </c>
      <c r="P1636">
        <v>32</v>
      </c>
      <c r="R1636" t="s">
        <v>7331</v>
      </c>
      <c r="S1636">
        <v>0</v>
      </c>
    </row>
    <row r="1637" spans="1:19">
      <c r="A1637" t="s">
        <v>7334</v>
      </c>
      <c r="B1637">
        <v>103</v>
      </c>
      <c r="C1637" t="s">
        <v>7328</v>
      </c>
      <c r="D1637" t="s">
        <v>7399</v>
      </c>
      <c r="E1637" t="s">
        <v>7400</v>
      </c>
      <c r="F1637" t="s">
        <v>7401</v>
      </c>
      <c r="G1637">
        <v>-6.5</v>
      </c>
      <c r="H1637">
        <v>-6.5</v>
      </c>
      <c r="L1637" t="s">
        <v>7330</v>
      </c>
      <c r="M1637" t="s">
        <v>7330</v>
      </c>
      <c r="N1637">
        <v>75</v>
      </c>
      <c r="P1637">
        <v>75</v>
      </c>
      <c r="R1637" t="s">
        <v>7331</v>
      </c>
      <c r="S1637">
        <v>0</v>
      </c>
    </row>
    <row r="1638" spans="1:19">
      <c r="A1638" t="s">
        <v>7334</v>
      </c>
      <c r="B1638">
        <v>103</v>
      </c>
      <c r="C1638" t="s">
        <v>7328</v>
      </c>
      <c r="D1638" t="s">
        <v>7399</v>
      </c>
      <c r="E1638" t="s">
        <v>7402</v>
      </c>
      <c r="F1638" t="s">
        <v>7401</v>
      </c>
      <c r="G1638">
        <v>-7</v>
      </c>
      <c r="H1638">
        <v>-7</v>
      </c>
      <c r="L1638" t="s">
        <v>7330</v>
      </c>
      <c r="M1638" t="s">
        <v>7330</v>
      </c>
      <c r="N1638">
        <v>129</v>
      </c>
      <c r="P1638">
        <v>129</v>
      </c>
      <c r="R1638" t="s">
        <v>7331</v>
      </c>
      <c r="S1638">
        <v>0</v>
      </c>
    </row>
    <row r="1639" spans="1:19">
      <c r="A1639" t="s">
        <v>7334</v>
      </c>
      <c r="B1639">
        <v>103</v>
      </c>
      <c r="C1639" t="s">
        <v>7328</v>
      </c>
      <c r="D1639" t="s">
        <v>7399</v>
      </c>
      <c r="E1639" t="s">
        <v>7563</v>
      </c>
      <c r="F1639" t="s">
        <v>7401</v>
      </c>
      <c r="G1639">
        <v>-8</v>
      </c>
      <c r="H1639">
        <v>-8</v>
      </c>
      <c r="L1639" t="s">
        <v>7330</v>
      </c>
      <c r="M1639" t="s">
        <v>7330</v>
      </c>
      <c r="N1639">
        <v>60</v>
      </c>
      <c r="P1639">
        <v>58</v>
      </c>
      <c r="Q1639">
        <v>2</v>
      </c>
      <c r="R1639" t="s">
        <v>7331</v>
      </c>
      <c r="S1639">
        <v>0</v>
      </c>
    </row>
    <row r="1640" spans="1:19">
      <c r="A1640" t="s">
        <v>7334</v>
      </c>
      <c r="B1640">
        <v>103</v>
      </c>
      <c r="C1640" t="s">
        <v>7328</v>
      </c>
      <c r="D1640" t="s">
        <v>7403</v>
      </c>
      <c r="E1640" t="s">
        <v>7578</v>
      </c>
      <c r="F1640" t="s">
        <v>7405</v>
      </c>
      <c r="G1640">
        <v>0</v>
      </c>
      <c r="H1640">
        <v>0</v>
      </c>
      <c r="L1640" t="s">
        <v>7330</v>
      </c>
      <c r="M1640" t="s">
        <v>7330</v>
      </c>
      <c r="N1640">
        <v>144</v>
      </c>
      <c r="P1640">
        <v>144</v>
      </c>
      <c r="R1640" t="s">
        <v>7331</v>
      </c>
      <c r="S1640">
        <v>0</v>
      </c>
    </row>
    <row r="1641" spans="1:19">
      <c r="A1641" t="s">
        <v>7334</v>
      </c>
      <c r="B1641">
        <v>103</v>
      </c>
      <c r="C1641" t="s">
        <v>7328</v>
      </c>
      <c r="D1641" t="s">
        <v>7403</v>
      </c>
      <c r="E1641" t="s">
        <v>7579</v>
      </c>
      <c r="F1641" t="s">
        <v>7405</v>
      </c>
      <c r="G1641">
        <v>-0.5</v>
      </c>
      <c r="H1641">
        <v>-0.5</v>
      </c>
      <c r="L1641" t="s">
        <v>7330</v>
      </c>
      <c r="M1641" t="s">
        <v>7330</v>
      </c>
      <c r="N1641">
        <v>23</v>
      </c>
      <c r="P1641">
        <v>23</v>
      </c>
      <c r="R1641" t="s">
        <v>7331</v>
      </c>
      <c r="S1641">
        <v>0</v>
      </c>
    </row>
    <row r="1642" spans="1:19">
      <c r="A1642" t="s">
        <v>7334</v>
      </c>
      <c r="B1642">
        <v>103</v>
      </c>
      <c r="C1642" t="s">
        <v>7328</v>
      </c>
      <c r="D1642" t="s">
        <v>7403</v>
      </c>
      <c r="E1642" t="s">
        <v>7580</v>
      </c>
      <c r="F1642" t="s">
        <v>7405</v>
      </c>
      <c r="G1642">
        <v>-0.75</v>
      </c>
      <c r="H1642">
        <v>-0.75</v>
      </c>
      <c r="L1642" t="s">
        <v>7330</v>
      </c>
      <c r="M1642" t="s">
        <v>7330</v>
      </c>
      <c r="N1642">
        <v>47</v>
      </c>
      <c r="P1642">
        <v>47</v>
      </c>
      <c r="R1642" t="s">
        <v>7331</v>
      </c>
      <c r="S1642">
        <v>0</v>
      </c>
    </row>
    <row r="1643" spans="1:19">
      <c r="A1643" t="s">
        <v>7334</v>
      </c>
      <c r="B1643">
        <v>103</v>
      </c>
      <c r="C1643" t="s">
        <v>7328</v>
      </c>
      <c r="D1643" t="s">
        <v>7403</v>
      </c>
      <c r="E1643" t="s">
        <v>7581</v>
      </c>
      <c r="F1643" t="s">
        <v>7405</v>
      </c>
      <c r="G1643">
        <v>-1</v>
      </c>
      <c r="H1643">
        <v>-1</v>
      </c>
      <c r="L1643" t="s">
        <v>7330</v>
      </c>
      <c r="M1643" t="s">
        <v>7330</v>
      </c>
      <c r="N1643">
        <v>49</v>
      </c>
      <c r="P1643">
        <v>49</v>
      </c>
      <c r="R1643" t="s">
        <v>7331</v>
      </c>
      <c r="S1643">
        <v>0</v>
      </c>
    </row>
    <row r="1644" spans="1:19">
      <c r="A1644" t="s">
        <v>7334</v>
      </c>
      <c r="B1644">
        <v>103</v>
      </c>
      <c r="C1644" t="s">
        <v>7328</v>
      </c>
      <c r="D1644" t="s">
        <v>7403</v>
      </c>
      <c r="E1644" t="s">
        <v>7582</v>
      </c>
      <c r="F1644" t="s">
        <v>7405</v>
      </c>
      <c r="G1644">
        <v>-1.25</v>
      </c>
      <c r="H1644">
        <v>-1.25</v>
      </c>
      <c r="L1644" t="s">
        <v>7330</v>
      </c>
      <c r="M1644" t="s">
        <v>7330</v>
      </c>
      <c r="N1644">
        <v>36</v>
      </c>
      <c r="O1644">
        <v>1</v>
      </c>
      <c r="P1644">
        <v>37</v>
      </c>
      <c r="R1644" t="s">
        <v>7331</v>
      </c>
      <c r="S1644">
        <v>0</v>
      </c>
    </row>
    <row r="1645" spans="1:19">
      <c r="A1645" t="s">
        <v>7334</v>
      </c>
      <c r="B1645">
        <v>103</v>
      </c>
      <c r="C1645" t="s">
        <v>7328</v>
      </c>
      <c r="D1645" t="s">
        <v>7403</v>
      </c>
      <c r="E1645" t="s">
        <v>7583</v>
      </c>
      <c r="F1645" t="s">
        <v>7405</v>
      </c>
      <c r="G1645">
        <v>-1.5</v>
      </c>
      <c r="H1645">
        <v>-1.5</v>
      </c>
      <c r="L1645" t="s">
        <v>7330</v>
      </c>
      <c r="M1645" t="s">
        <v>7330</v>
      </c>
      <c r="N1645">
        <v>21</v>
      </c>
      <c r="P1645">
        <v>21</v>
      </c>
      <c r="R1645" t="s">
        <v>7331</v>
      </c>
      <c r="S1645">
        <v>0</v>
      </c>
    </row>
    <row r="1646" spans="1:19">
      <c r="A1646" t="s">
        <v>7334</v>
      </c>
      <c r="B1646">
        <v>103</v>
      </c>
      <c r="C1646" t="s">
        <v>7328</v>
      </c>
      <c r="D1646" t="s">
        <v>7403</v>
      </c>
      <c r="E1646" t="s">
        <v>7584</v>
      </c>
      <c r="F1646" t="s">
        <v>7405</v>
      </c>
      <c r="G1646">
        <v>-1.75</v>
      </c>
      <c r="H1646">
        <v>-1.75</v>
      </c>
      <c r="L1646" t="s">
        <v>7330</v>
      </c>
      <c r="M1646" t="s">
        <v>7330</v>
      </c>
      <c r="N1646">
        <v>13</v>
      </c>
      <c r="P1646">
        <v>13</v>
      </c>
      <c r="R1646" t="s">
        <v>7331</v>
      </c>
      <c r="S1646">
        <v>0</v>
      </c>
    </row>
    <row r="1647" spans="1:19">
      <c r="A1647" t="s">
        <v>7334</v>
      </c>
      <c r="B1647">
        <v>103</v>
      </c>
      <c r="C1647" t="s">
        <v>7328</v>
      </c>
      <c r="D1647" t="s">
        <v>7403</v>
      </c>
      <c r="E1647" t="s">
        <v>7585</v>
      </c>
      <c r="F1647" t="s">
        <v>7405</v>
      </c>
      <c r="G1647">
        <v>-2</v>
      </c>
      <c r="H1647">
        <v>-2</v>
      </c>
      <c r="L1647" t="s">
        <v>7330</v>
      </c>
      <c r="M1647" t="s">
        <v>7330</v>
      </c>
      <c r="N1647">
        <v>7</v>
      </c>
      <c r="P1647">
        <v>7</v>
      </c>
      <c r="R1647" t="s">
        <v>7331</v>
      </c>
      <c r="S1647">
        <v>0</v>
      </c>
    </row>
    <row r="1648" spans="1:19">
      <c r="A1648" t="s">
        <v>7334</v>
      </c>
      <c r="B1648">
        <v>103</v>
      </c>
      <c r="C1648" t="s">
        <v>7328</v>
      </c>
      <c r="D1648" t="s">
        <v>7403</v>
      </c>
      <c r="E1648" t="s">
        <v>7586</v>
      </c>
      <c r="F1648" t="s">
        <v>7405</v>
      </c>
      <c r="G1648">
        <v>-2.25</v>
      </c>
      <c r="H1648">
        <v>-2.25</v>
      </c>
      <c r="L1648" t="s">
        <v>7330</v>
      </c>
      <c r="M1648" t="s">
        <v>7330</v>
      </c>
      <c r="N1648">
        <v>6</v>
      </c>
      <c r="P1648">
        <v>6</v>
      </c>
      <c r="R1648" t="s">
        <v>7331</v>
      </c>
      <c r="S1648">
        <v>0</v>
      </c>
    </row>
    <row r="1649" spans="1:19">
      <c r="A1649" t="s">
        <v>7334</v>
      </c>
      <c r="B1649">
        <v>103</v>
      </c>
      <c r="C1649" t="s">
        <v>7328</v>
      </c>
      <c r="D1649" t="s">
        <v>7403</v>
      </c>
      <c r="E1649" t="s">
        <v>7587</v>
      </c>
      <c r="F1649" t="s">
        <v>7405</v>
      </c>
      <c r="G1649">
        <v>-2.5</v>
      </c>
      <c r="H1649">
        <v>-2.5</v>
      </c>
      <c r="L1649" t="s">
        <v>7330</v>
      </c>
      <c r="M1649" t="s">
        <v>7330</v>
      </c>
      <c r="N1649">
        <v>20</v>
      </c>
      <c r="P1649">
        <v>20</v>
      </c>
      <c r="R1649" t="s">
        <v>7331</v>
      </c>
      <c r="S1649">
        <v>0</v>
      </c>
    </row>
    <row r="1650" spans="1:19">
      <c r="A1650" t="s">
        <v>7334</v>
      </c>
      <c r="B1650">
        <v>103</v>
      </c>
      <c r="C1650" t="s">
        <v>7328</v>
      </c>
      <c r="D1650" t="s">
        <v>7403</v>
      </c>
      <c r="E1650" t="s">
        <v>7588</v>
      </c>
      <c r="F1650" t="s">
        <v>7405</v>
      </c>
      <c r="G1650">
        <v>-2.75</v>
      </c>
      <c r="H1650">
        <v>-2.75</v>
      </c>
      <c r="L1650" t="s">
        <v>7330</v>
      </c>
      <c r="M1650" t="s">
        <v>7330</v>
      </c>
      <c r="N1650">
        <v>13</v>
      </c>
      <c r="P1650">
        <v>13</v>
      </c>
      <c r="R1650" t="s">
        <v>7331</v>
      </c>
      <c r="S1650">
        <v>0</v>
      </c>
    </row>
    <row r="1651" spans="1:19">
      <c r="A1651" t="s">
        <v>7334</v>
      </c>
      <c r="B1651">
        <v>103</v>
      </c>
      <c r="C1651" t="s">
        <v>7328</v>
      </c>
      <c r="D1651" t="s">
        <v>7403</v>
      </c>
      <c r="E1651" t="s">
        <v>7589</v>
      </c>
      <c r="F1651" t="s">
        <v>7405</v>
      </c>
      <c r="G1651">
        <v>-3</v>
      </c>
      <c r="H1651">
        <v>-3</v>
      </c>
      <c r="L1651" t="s">
        <v>7330</v>
      </c>
      <c r="M1651" t="s">
        <v>7330</v>
      </c>
      <c r="N1651">
        <v>12</v>
      </c>
      <c r="P1651">
        <v>12</v>
      </c>
      <c r="R1651" t="s">
        <v>7331</v>
      </c>
      <c r="S1651">
        <v>0</v>
      </c>
    </row>
    <row r="1652" spans="1:19">
      <c r="A1652" t="s">
        <v>7334</v>
      </c>
      <c r="B1652">
        <v>103</v>
      </c>
      <c r="C1652" t="s">
        <v>7328</v>
      </c>
      <c r="D1652" t="s">
        <v>7403</v>
      </c>
      <c r="E1652" t="s">
        <v>7590</v>
      </c>
      <c r="F1652" t="s">
        <v>7405</v>
      </c>
      <c r="G1652">
        <v>-3.5</v>
      </c>
      <c r="H1652">
        <v>-3.5</v>
      </c>
      <c r="L1652" t="s">
        <v>7330</v>
      </c>
      <c r="M1652" t="s">
        <v>7330</v>
      </c>
      <c r="N1652">
        <v>8</v>
      </c>
      <c r="P1652">
        <v>8</v>
      </c>
      <c r="R1652" t="s">
        <v>7331</v>
      </c>
      <c r="S1652">
        <v>0</v>
      </c>
    </row>
    <row r="1653" spans="1:19">
      <c r="A1653" t="s">
        <v>7334</v>
      </c>
      <c r="B1653">
        <v>103</v>
      </c>
      <c r="C1653" t="s">
        <v>7328</v>
      </c>
      <c r="D1653" t="s">
        <v>7403</v>
      </c>
      <c r="E1653" t="s">
        <v>7591</v>
      </c>
      <c r="F1653" t="s">
        <v>7405</v>
      </c>
      <c r="G1653">
        <v>-4</v>
      </c>
      <c r="H1653">
        <v>-4</v>
      </c>
      <c r="L1653" t="s">
        <v>7330</v>
      </c>
      <c r="M1653" t="s">
        <v>7330</v>
      </c>
      <c r="N1653">
        <v>11</v>
      </c>
      <c r="P1653">
        <v>11</v>
      </c>
      <c r="R1653" t="s">
        <v>7331</v>
      </c>
      <c r="S1653">
        <v>0</v>
      </c>
    </row>
    <row r="1654" spans="1:19">
      <c r="A1654" t="s">
        <v>7334</v>
      </c>
      <c r="B1654">
        <v>103</v>
      </c>
      <c r="C1654" t="s">
        <v>7328</v>
      </c>
      <c r="D1654" t="s">
        <v>7403</v>
      </c>
      <c r="E1654" t="s">
        <v>7592</v>
      </c>
      <c r="F1654" t="s">
        <v>7405</v>
      </c>
      <c r="G1654">
        <v>-4.25</v>
      </c>
      <c r="H1654">
        <v>-4.25</v>
      </c>
      <c r="L1654" t="s">
        <v>7330</v>
      </c>
      <c r="M1654" t="s">
        <v>7330</v>
      </c>
      <c r="N1654">
        <v>21</v>
      </c>
      <c r="P1654">
        <v>21</v>
      </c>
      <c r="R1654" t="s">
        <v>7331</v>
      </c>
      <c r="S1654">
        <v>0</v>
      </c>
    </row>
    <row r="1655" spans="1:19">
      <c r="A1655" t="s">
        <v>7334</v>
      </c>
      <c r="B1655">
        <v>103</v>
      </c>
      <c r="C1655" t="s">
        <v>7328</v>
      </c>
      <c r="D1655" t="s">
        <v>7403</v>
      </c>
      <c r="E1655" t="s">
        <v>7593</v>
      </c>
      <c r="F1655" t="s">
        <v>7405</v>
      </c>
      <c r="G1655">
        <v>-4.75</v>
      </c>
      <c r="H1655">
        <v>-4.75</v>
      </c>
      <c r="L1655" t="s">
        <v>7330</v>
      </c>
      <c r="M1655" t="s">
        <v>7330</v>
      </c>
      <c r="N1655">
        <v>19</v>
      </c>
      <c r="P1655">
        <v>19</v>
      </c>
      <c r="R1655" t="s">
        <v>7331</v>
      </c>
      <c r="S1655">
        <v>0</v>
      </c>
    </row>
    <row r="1656" spans="1:19">
      <c r="A1656" t="s">
        <v>7334</v>
      </c>
      <c r="B1656">
        <v>103</v>
      </c>
      <c r="C1656" t="s">
        <v>7328</v>
      </c>
      <c r="D1656" t="s">
        <v>7403</v>
      </c>
      <c r="E1656" t="s">
        <v>7594</v>
      </c>
      <c r="F1656" t="s">
        <v>7405</v>
      </c>
      <c r="G1656">
        <v>-5</v>
      </c>
      <c r="H1656">
        <v>-5</v>
      </c>
      <c r="L1656" t="s">
        <v>7330</v>
      </c>
      <c r="M1656" t="s">
        <v>7330</v>
      </c>
      <c r="N1656">
        <v>13</v>
      </c>
      <c r="P1656">
        <v>13</v>
      </c>
      <c r="R1656" t="s">
        <v>7331</v>
      </c>
      <c r="S1656">
        <v>0</v>
      </c>
    </row>
    <row r="1657" spans="1:19">
      <c r="A1657" t="s">
        <v>7334</v>
      </c>
      <c r="B1657">
        <v>103</v>
      </c>
      <c r="C1657" t="s">
        <v>7328</v>
      </c>
      <c r="D1657" t="s">
        <v>7403</v>
      </c>
      <c r="E1657" t="s">
        <v>9170</v>
      </c>
      <c r="F1657" t="s">
        <v>7405</v>
      </c>
      <c r="G1657">
        <v>-5.5</v>
      </c>
      <c r="H1657">
        <v>-5.5</v>
      </c>
      <c r="L1657" t="s">
        <v>7330</v>
      </c>
      <c r="M1657" t="s">
        <v>7330</v>
      </c>
      <c r="P1657">
        <v>0</v>
      </c>
      <c r="R1657" t="s">
        <v>7331</v>
      </c>
      <c r="S1657">
        <v>0</v>
      </c>
    </row>
    <row r="1658" spans="1:19">
      <c r="A1658" t="s">
        <v>7334</v>
      </c>
      <c r="B1658">
        <v>103</v>
      </c>
      <c r="C1658" t="s">
        <v>7328</v>
      </c>
      <c r="D1658" t="s">
        <v>7403</v>
      </c>
      <c r="E1658" t="s">
        <v>7595</v>
      </c>
      <c r="F1658" t="s">
        <v>7405</v>
      </c>
      <c r="G1658">
        <v>-6</v>
      </c>
      <c r="H1658">
        <v>-6</v>
      </c>
      <c r="L1658" t="s">
        <v>7330</v>
      </c>
      <c r="M1658" t="s">
        <v>7330</v>
      </c>
      <c r="N1658">
        <v>40</v>
      </c>
      <c r="P1658">
        <v>40</v>
      </c>
      <c r="R1658" t="s">
        <v>7331</v>
      </c>
      <c r="S1658">
        <v>0</v>
      </c>
    </row>
    <row r="1659" spans="1:19">
      <c r="A1659" t="s">
        <v>7334</v>
      </c>
      <c r="B1659">
        <v>103</v>
      </c>
      <c r="C1659" t="s">
        <v>7328</v>
      </c>
      <c r="D1659" t="s">
        <v>7403</v>
      </c>
      <c r="E1659" t="s">
        <v>7404</v>
      </c>
      <c r="F1659" t="s">
        <v>7405</v>
      </c>
      <c r="G1659">
        <v>-6.5</v>
      </c>
      <c r="H1659">
        <v>-6.5</v>
      </c>
      <c r="L1659" t="s">
        <v>7330</v>
      </c>
      <c r="M1659" t="s">
        <v>7330</v>
      </c>
      <c r="N1659">
        <v>17</v>
      </c>
      <c r="P1659">
        <v>17</v>
      </c>
      <c r="R1659" t="s">
        <v>7331</v>
      </c>
      <c r="S1659">
        <v>0</v>
      </c>
    </row>
    <row r="1660" spans="1:19">
      <c r="A1660" t="s">
        <v>7334</v>
      </c>
      <c r="B1660">
        <v>103</v>
      </c>
      <c r="C1660" t="s">
        <v>7328</v>
      </c>
      <c r="D1660" t="s">
        <v>7403</v>
      </c>
      <c r="E1660" t="s">
        <v>7406</v>
      </c>
      <c r="F1660" t="s">
        <v>7405</v>
      </c>
      <c r="G1660">
        <v>-7</v>
      </c>
      <c r="H1660">
        <v>-7</v>
      </c>
      <c r="L1660" t="s">
        <v>7330</v>
      </c>
      <c r="M1660" t="s">
        <v>7330</v>
      </c>
      <c r="N1660">
        <v>44</v>
      </c>
      <c r="O1660">
        <v>2</v>
      </c>
      <c r="P1660">
        <v>46</v>
      </c>
      <c r="R1660" t="s">
        <v>7331</v>
      </c>
      <c r="S1660">
        <v>0</v>
      </c>
    </row>
    <row r="1661" spans="1:19">
      <c r="A1661" t="s">
        <v>7334</v>
      </c>
      <c r="B1661">
        <v>103</v>
      </c>
      <c r="C1661" t="s">
        <v>7328</v>
      </c>
      <c r="D1661" t="s">
        <v>7403</v>
      </c>
      <c r="E1661" t="s">
        <v>7596</v>
      </c>
      <c r="F1661" t="s">
        <v>7405</v>
      </c>
      <c r="G1661">
        <v>-7.5</v>
      </c>
      <c r="H1661">
        <v>-7.5</v>
      </c>
      <c r="L1661" t="s">
        <v>7330</v>
      </c>
      <c r="M1661" t="s">
        <v>7330</v>
      </c>
      <c r="N1661">
        <v>84</v>
      </c>
      <c r="P1661">
        <v>78</v>
      </c>
      <c r="Q1661">
        <v>6</v>
      </c>
      <c r="R1661" t="s">
        <v>7331</v>
      </c>
      <c r="S1661">
        <v>0</v>
      </c>
    </row>
    <row r="1662" spans="1:19">
      <c r="A1662" t="s">
        <v>7334</v>
      </c>
      <c r="B1662">
        <v>103</v>
      </c>
      <c r="C1662" t="s">
        <v>7328</v>
      </c>
      <c r="D1662" t="s">
        <v>7403</v>
      </c>
      <c r="E1662" t="s">
        <v>7597</v>
      </c>
      <c r="F1662" t="s">
        <v>7405</v>
      </c>
      <c r="G1662">
        <v>-8</v>
      </c>
      <c r="H1662">
        <v>-8</v>
      </c>
      <c r="L1662" t="s">
        <v>7330</v>
      </c>
      <c r="M1662" t="s">
        <v>7330</v>
      </c>
      <c r="N1662">
        <v>61</v>
      </c>
      <c r="P1662">
        <v>56</v>
      </c>
      <c r="Q1662">
        <v>5</v>
      </c>
      <c r="R1662" t="s">
        <v>7331</v>
      </c>
      <c r="S1662">
        <v>0</v>
      </c>
    </row>
    <row r="1663" spans="1:19">
      <c r="A1663" t="s">
        <v>7334</v>
      </c>
      <c r="B1663">
        <v>103</v>
      </c>
      <c r="C1663" t="s">
        <v>7328</v>
      </c>
      <c r="D1663" t="s">
        <v>7407</v>
      </c>
      <c r="E1663" t="s">
        <v>7409</v>
      </c>
      <c r="F1663" t="s">
        <v>7408</v>
      </c>
      <c r="G1663">
        <v>-1</v>
      </c>
      <c r="H1663">
        <v>-1</v>
      </c>
      <c r="L1663" t="s">
        <v>7330</v>
      </c>
      <c r="M1663" t="s">
        <v>7330</v>
      </c>
      <c r="N1663">
        <v>86</v>
      </c>
      <c r="P1663">
        <v>86</v>
      </c>
      <c r="R1663" t="s">
        <v>7331</v>
      </c>
      <c r="S1663">
        <v>0</v>
      </c>
    </row>
    <row r="1664" spans="1:19">
      <c r="A1664" t="s">
        <v>7334</v>
      </c>
      <c r="B1664">
        <v>103</v>
      </c>
      <c r="C1664" t="s">
        <v>7328</v>
      </c>
      <c r="D1664" t="s">
        <v>7407</v>
      </c>
      <c r="E1664" t="s">
        <v>7410</v>
      </c>
      <c r="F1664" t="s">
        <v>7408</v>
      </c>
      <c r="G1664">
        <v>-1.5</v>
      </c>
      <c r="H1664">
        <v>-1.5</v>
      </c>
      <c r="L1664" t="s">
        <v>7330</v>
      </c>
      <c r="M1664" t="s">
        <v>7330</v>
      </c>
      <c r="N1664">
        <v>124</v>
      </c>
      <c r="P1664">
        <v>124</v>
      </c>
      <c r="R1664" t="s">
        <v>7331</v>
      </c>
      <c r="S1664">
        <v>0</v>
      </c>
    </row>
    <row r="1665" spans="1:19">
      <c r="A1665" t="s">
        <v>7334</v>
      </c>
      <c r="B1665">
        <v>103</v>
      </c>
      <c r="C1665" t="s">
        <v>7328</v>
      </c>
      <c r="D1665" t="s">
        <v>7407</v>
      </c>
      <c r="E1665" t="s">
        <v>7411</v>
      </c>
      <c r="F1665" t="s">
        <v>7408</v>
      </c>
      <c r="G1665">
        <v>-1.75</v>
      </c>
      <c r="H1665">
        <v>-1.75</v>
      </c>
      <c r="L1665" t="s">
        <v>7330</v>
      </c>
      <c r="M1665" t="s">
        <v>7330</v>
      </c>
      <c r="N1665">
        <v>15</v>
      </c>
      <c r="O1665">
        <v>1</v>
      </c>
      <c r="P1665">
        <v>16</v>
      </c>
      <c r="R1665" t="s">
        <v>7331</v>
      </c>
      <c r="S1665">
        <v>0</v>
      </c>
    </row>
    <row r="1666" spans="1:19">
      <c r="A1666" t="s">
        <v>7334</v>
      </c>
      <c r="B1666">
        <v>103</v>
      </c>
      <c r="C1666" t="s">
        <v>7328</v>
      </c>
      <c r="D1666" t="s">
        <v>7407</v>
      </c>
      <c r="E1666" t="s">
        <v>7412</v>
      </c>
      <c r="F1666" t="s">
        <v>7408</v>
      </c>
      <c r="G1666">
        <v>-2.75</v>
      </c>
      <c r="H1666">
        <v>-2.75</v>
      </c>
      <c r="L1666" t="s">
        <v>7330</v>
      </c>
      <c r="M1666" t="s">
        <v>7330</v>
      </c>
      <c r="N1666">
        <v>89</v>
      </c>
      <c r="P1666">
        <v>89</v>
      </c>
      <c r="R1666" t="s">
        <v>7331</v>
      </c>
      <c r="S1666">
        <v>0</v>
      </c>
    </row>
    <row r="1667" spans="1:19">
      <c r="A1667" t="s">
        <v>7334</v>
      </c>
      <c r="B1667">
        <v>103</v>
      </c>
      <c r="C1667" t="s">
        <v>7328</v>
      </c>
      <c r="D1667" t="s">
        <v>7407</v>
      </c>
      <c r="E1667" t="s">
        <v>7413</v>
      </c>
      <c r="F1667" t="s">
        <v>7408</v>
      </c>
      <c r="G1667">
        <v>-3</v>
      </c>
      <c r="H1667">
        <v>-3</v>
      </c>
      <c r="L1667" t="s">
        <v>7330</v>
      </c>
      <c r="M1667" t="s">
        <v>7330</v>
      </c>
      <c r="N1667">
        <v>121</v>
      </c>
      <c r="P1667">
        <v>121</v>
      </c>
      <c r="R1667" t="s">
        <v>7331</v>
      </c>
      <c r="S1667">
        <v>0</v>
      </c>
    </row>
    <row r="1668" spans="1:19">
      <c r="A1668" t="s">
        <v>7334</v>
      </c>
      <c r="B1668">
        <v>103</v>
      </c>
      <c r="C1668" t="s">
        <v>7328</v>
      </c>
      <c r="D1668" t="s">
        <v>7407</v>
      </c>
      <c r="E1668" t="s">
        <v>7414</v>
      </c>
      <c r="F1668" t="s">
        <v>7408</v>
      </c>
      <c r="G1668">
        <v>-3.25</v>
      </c>
      <c r="H1668">
        <v>-3.25</v>
      </c>
      <c r="L1668" t="s">
        <v>7330</v>
      </c>
      <c r="M1668" t="s">
        <v>7330</v>
      </c>
      <c r="N1668">
        <v>111</v>
      </c>
      <c r="P1668">
        <v>111</v>
      </c>
      <c r="R1668" t="s">
        <v>7331</v>
      </c>
      <c r="S1668">
        <v>0</v>
      </c>
    </row>
    <row r="1669" spans="1:19">
      <c r="A1669" t="s">
        <v>7334</v>
      </c>
      <c r="B1669">
        <v>103</v>
      </c>
      <c r="C1669" t="s">
        <v>7328</v>
      </c>
      <c r="D1669" t="s">
        <v>7407</v>
      </c>
      <c r="E1669" t="s">
        <v>7415</v>
      </c>
      <c r="F1669" t="s">
        <v>7408</v>
      </c>
      <c r="G1669">
        <v>-3.5</v>
      </c>
      <c r="H1669">
        <v>-3.5</v>
      </c>
      <c r="L1669" t="s">
        <v>7330</v>
      </c>
      <c r="M1669" t="s">
        <v>7330</v>
      </c>
      <c r="N1669">
        <v>6</v>
      </c>
      <c r="P1669">
        <v>6</v>
      </c>
      <c r="R1669" t="s">
        <v>7331</v>
      </c>
      <c r="S1669">
        <v>0</v>
      </c>
    </row>
    <row r="1670" spans="1:19">
      <c r="A1670" t="s">
        <v>7334</v>
      </c>
      <c r="B1670">
        <v>103</v>
      </c>
      <c r="C1670" t="s">
        <v>7328</v>
      </c>
      <c r="D1670" t="s">
        <v>7407</v>
      </c>
      <c r="E1670" t="s">
        <v>7416</v>
      </c>
      <c r="F1670" t="s">
        <v>7408</v>
      </c>
      <c r="G1670">
        <v>-3.75</v>
      </c>
      <c r="H1670">
        <v>-3.75</v>
      </c>
      <c r="L1670" t="s">
        <v>7330</v>
      </c>
      <c r="M1670" t="s">
        <v>7330</v>
      </c>
      <c r="N1670">
        <v>8</v>
      </c>
      <c r="P1670">
        <v>8</v>
      </c>
      <c r="R1670" t="s">
        <v>7331</v>
      </c>
      <c r="S1670">
        <v>0</v>
      </c>
    </row>
    <row r="1671" spans="1:19">
      <c r="A1671" t="s">
        <v>7334</v>
      </c>
      <c r="B1671">
        <v>103</v>
      </c>
      <c r="C1671" t="s">
        <v>7328</v>
      </c>
      <c r="D1671" t="s">
        <v>7407</v>
      </c>
      <c r="E1671" t="s">
        <v>7417</v>
      </c>
      <c r="F1671" t="s">
        <v>7408</v>
      </c>
      <c r="G1671">
        <v>-4.25</v>
      </c>
      <c r="H1671">
        <v>-4.25</v>
      </c>
      <c r="L1671" t="s">
        <v>7330</v>
      </c>
      <c r="M1671" t="s">
        <v>7330</v>
      </c>
      <c r="N1671">
        <v>64</v>
      </c>
      <c r="O1671">
        <v>1</v>
      </c>
      <c r="P1671">
        <v>65</v>
      </c>
      <c r="R1671" t="s">
        <v>7331</v>
      </c>
      <c r="S1671">
        <v>0</v>
      </c>
    </row>
    <row r="1672" spans="1:19">
      <c r="A1672" t="s">
        <v>7334</v>
      </c>
      <c r="B1672">
        <v>103</v>
      </c>
      <c r="C1672" t="s">
        <v>7328</v>
      </c>
      <c r="D1672" t="s">
        <v>7407</v>
      </c>
      <c r="E1672" t="s">
        <v>7418</v>
      </c>
      <c r="F1672" t="s">
        <v>7408</v>
      </c>
      <c r="G1672">
        <v>-4.75</v>
      </c>
      <c r="H1672">
        <v>-4.75</v>
      </c>
      <c r="L1672" t="s">
        <v>7330</v>
      </c>
      <c r="M1672" t="s">
        <v>7330</v>
      </c>
      <c r="N1672">
        <v>125</v>
      </c>
      <c r="P1672">
        <v>125</v>
      </c>
      <c r="R1672" t="s">
        <v>7331</v>
      </c>
      <c r="S1672">
        <v>0</v>
      </c>
    </row>
    <row r="1673" spans="1:19">
      <c r="A1673" t="s">
        <v>7334</v>
      </c>
      <c r="B1673">
        <v>103</v>
      </c>
      <c r="C1673" t="s">
        <v>7328</v>
      </c>
      <c r="D1673" t="s">
        <v>7407</v>
      </c>
      <c r="E1673" t="s">
        <v>7419</v>
      </c>
      <c r="F1673" t="s">
        <v>7408</v>
      </c>
      <c r="G1673">
        <v>-6</v>
      </c>
      <c r="H1673">
        <v>-6</v>
      </c>
      <c r="L1673" t="s">
        <v>7330</v>
      </c>
      <c r="M1673" t="s">
        <v>7330</v>
      </c>
      <c r="N1673">
        <v>22</v>
      </c>
      <c r="P1673">
        <v>22</v>
      </c>
      <c r="R1673" t="s">
        <v>7331</v>
      </c>
      <c r="S1673">
        <v>0</v>
      </c>
    </row>
    <row r="1674" spans="1:19">
      <c r="A1674" t="s">
        <v>7334</v>
      </c>
      <c r="B1674">
        <v>103</v>
      </c>
      <c r="C1674" t="s">
        <v>7328</v>
      </c>
      <c r="D1674" t="s">
        <v>7836</v>
      </c>
      <c r="E1674" t="s">
        <v>7837</v>
      </c>
      <c r="F1674" t="s">
        <v>7838</v>
      </c>
      <c r="G1674">
        <v>-0.5</v>
      </c>
      <c r="H1674">
        <v>-0.5</v>
      </c>
      <c r="L1674" t="s">
        <v>7330</v>
      </c>
      <c r="M1674" t="s">
        <v>7330</v>
      </c>
      <c r="N1674">
        <v>539</v>
      </c>
      <c r="P1674">
        <v>29</v>
      </c>
      <c r="Q1674">
        <v>510</v>
      </c>
      <c r="R1674" t="s">
        <v>7332</v>
      </c>
      <c r="S1674">
        <v>0</v>
      </c>
    </row>
    <row r="1675" spans="1:19">
      <c r="A1675" t="s">
        <v>7334</v>
      </c>
      <c r="B1675">
        <v>103</v>
      </c>
      <c r="C1675" t="s">
        <v>7328</v>
      </c>
      <c r="D1675" t="s">
        <v>7836</v>
      </c>
      <c r="E1675" t="s">
        <v>7839</v>
      </c>
      <c r="F1675" t="s">
        <v>7838</v>
      </c>
      <c r="G1675">
        <v>-0.75</v>
      </c>
      <c r="H1675">
        <v>-0.75</v>
      </c>
      <c r="L1675" t="s">
        <v>7330</v>
      </c>
      <c r="M1675" t="s">
        <v>7330</v>
      </c>
      <c r="N1675">
        <v>467</v>
      </c>
      <c r="P1675">
        <v>29</v>
      </c>
      <c r="Q1675">
        <v>438</v>
      </c>
      <c r="R1675" t="s">
        <v>7332</v>
      </c>
      <c r="S1675">
        <v>0</v>
      </c>
    </row>
    <row r="1676" spans="1:19">
      <c r="A1676" t="s">
        <v>7334</v>
      </c>
      <c r="B1676">
        <v>103</v>
      </c>
      <c r="C1676" t="s">
        <v>7328</v>
      </c>
      <c r="D1676" t="s">
        <v>7836</v>
      </c>
      <c r="E1676" t="s">
        <v>7873</v>
      </c>
      <c r="F1676" t="s">
        <v>7838</v>
      </c>
      <c r="G1676">
        <v>-1</v>
      </c>
      <c r="H1676">
        <v>-1</v>
      </c>
      <c r="L1676" t="s">
        <v>7330</v>
      </c>
      <c r="M1676" t="s">
        <v>7330</v>
      </c>
      <c r="N1676">
        <v>408</v>
      </c>
      <c r="P1676">
        <v>268</v>
      </c>
      <c r="Q1676">
        <v>140</v>
      </c>
      <c r="R1676" t="s">
        <v>7332</v>
      </c>
      <c r="S1676">
        <v>0</v>
      </c>
    </row>
    <row r="1677" spans="1:19">
      <c r="A1677" t="s">
        <v>7334</v>
      </c>
      <c r="B1677">
        <v>103</v>
      </c>
      <c r="C1677" t="s">
        <v>7328</v>
      </c>
      <c r="D1677" t="s">
        <v>7836</v>
      </c>
      <c r="E1677" t="s">
        <v>7874</v>
      </c>
      <c r="F1677" t="s">
        <v>7838</v>
      </c>
      <c r="G1677">
        <v>-1.25</v>
      </c>
      <c r="H1677">
        <v>-1.25</v>
      </c>
      <c r="L1677" t="s">
        <v>7330</v>
      </c>
      <c r="M1677" t="s">
        <v>7330</v>
      </c>
      <c r="N1677">
        <v>934</v>
      </c>
      <c r="P1677">
        <v>268</v>
      </c>
      <c r="Q1677">
        <v>666</v>
      </c>
      <c r="R1677" t="s">
        <v>7332</v>
      </c>
      <c r="S1677">
        <v>0</v>
      </c>
    </row>
    <row r="1678" spans="1:19">
      <c r="A1678" t="s">
        <v>7334</v>
      </c>
      <c r="B1678">
        <v>103</v>
      </c>
      <c r="C1678" t="s">
        <v>7328</v>
      </c>
      <c r="D1678" t="s">
        <v>7836</v>
      </c>
      <c r="E1678" t="s">
        <v>7840</v>
      </c>
      <c r="F1678" t="s">
        <v>7838</v>
      </c>
      <c r="G1678">
        <v>-1.5</v>
      </c>
      <c r="H1678">
        <v>-1.5</v>
      </c>
      <c r="L1678" t="s">
        <v>7330</v>
      </c>
      <c r="M1678" t="s">
        <v>7330</v>
      </c>
      <c r="N1678">
        <v>457</v>
      </c>
      <c r="P1678">
        <v>268</v>
      </c>
      <c r="Q1678">
        <v>189</v>
      </c>
      <c r="R1678" t="s">
        <v>7332</v>
      </c>
      <c r="S1678">
        <v>0</v>
      </c>
    </row>
    <row r="1679" spans="1:19">
      <c r="A1679" t="s">
        <v>7334</v>
      </c>
      <c r="B1679">
        <v>103</v>
      </c>
      <c r="C1679" t="s">
        <v>7328</v>
      </c>
      <c r="D1679" t="s">
        <v>7836</v>
      </c>
      <c r="E1679" t="s">
        <v>7841</v>
      </c>
      <c r="F1679" t="s">
        <v>7838</v>
      </c>
      <c r="G1679">
        <v>-1.75</v>
      </c>
      <c r="H1679">
        <v>-1.75</v>
      </c>
      <c r="L1679" t="s">
        <v>7330</v>
      </c>
      <c r="M1679" t="s">
        <v>7330</v>
      </c>
      <c r="N1679">
        <v>701</v>
      </c>
      <c r="P1679">
        <v>268</v>
      </c>
      <c r="Q1679">
        <v>433</v>
      </c>
      <c r="R1679" t="s">
        <v>7332</v>
      </c>
      <c r="S1679">
        <v>0</v>
      </c>
    </row>
    <row r="1680" spans="1:19">
      <c r="A1680" t="s">
        <v>7334</v>
      </c>
      <c r="B1680">
        <v>103</v>
      </c>
      <c r="C1680" t="s">
        <v>7328</v>
      </c>
      <c r="D1680" t="s">
        <v>7836</v>
      </c>
      <c r="E1680" t="s">
        <v>7842</v>
      </c>
      <c r="F1680" t="s">
        <v>7838</v>
      </c>
      <c r="G1680">
        <v>-2</v>
      </c>
      <c r="H1680">
        <v>-2</v>
      </c>
      <c r="L1680" t="s">
        <v>7330</v>
      </c>
      <c r="M1680" t="s">
        <v>7330</v>
      </c>
      <c r="N1680">
        <v>749</v>
      </c>
      <c r="P1680">
        <v>268</v>
      </c>
      <c r="Q1680">
        <v>481</v>
      </c>
      <c r="R1680" t="s">
        <v>7332</v>
      </c>
      <c r="S1680">
        <v>0</v>
      </c>
    </row>
    <row r="1681" spans="1:19">
      <c r="A1681" t="s">
        <v>7334</v>
      </c>
      <c r="B1681">
        <v>103</v>
      </c>
      <c r="C1681" t="s">
        <v>7328</v>
      </c>
      <c r="D1681" t="s">
        <v>7836</v>
      </c>
      <c r="E1681" t="s">
        <v>7843</v>
      </c>
      <c r="F1681" t="s">
        <v>7838</v>
      </c>
      <c r="G1681">
        <v>-2.25</v>
      </c>
      <c r="H1681">
        <v>-2.25</v>
      </c>
      <c r="L1681" t="s">
        <v>7330</v>
      </c>
      <c r="M1681" t="s">
        <v>7330</v>
      </c>
      <c r="N1681">
        <v>661</v>
      </c>
      <c r="P1681">
        <v>268</v>
      </c>
      <c r="Q1681">
        <v>393</v>
      </c>
      <c r="R1681" t="s">
        <v>7332</v>
      </c>
      <c r="S1681">
        <v>0</v>
      </c>
    </row>
    <row r="1682" spans="1:19">
      <c r="A1682" t="s">
        <v>7334</v>
      </c>
      <c r="B1682">
        <v>103</v>
      </c>
      <c r="C1682" t="s">
        <v>7328</v>
      </c>
      <c r="D1682" t="s">
        <v>7836</v>
      </c>
      <c r="E1682" t="s">
        <v>7844</v>
      </c>
      <c r="F1682" t="s">
        <v>7838</v>
      </c>
      <c r="G1682">
        <v>-2.5</v>
      </c>
      <c r="H1682">
        <v>-2.5</v>
      </c>
      <c r="L1682" t="s">
        <v>7330</v>
      </c>
      <c r="M1682" t="s">
        <v>7330</v>
      </c>
      <c r="N1682">
        <v>313</v>
      </c>
      <c r="P1682">
        <v>274</v>
      </c>
      <c r="Q1682">
        <v>39</v>
      </c>
      <c r="R1682" t="s">
        <v>7332</v>
      </c>
      <c r="S1682">
        <v>0</v>
      </c>
    </row>
    <row r="1683" spans="1:19">
      <c r="A1683" t="s">
        <v>7334</v>
      </c>
      <c r="B1683">
        <v>103</v>
      </c>
      <c r="C1683" t="s">
        <v>7328</v>
      </c>
      <c r="D1683" t="s">
        <v>7836</v>
      </c>
      <c r="E1683" t="s">
        <v>7845</v>
      </c>
      <c r="F1683" t="s">
        <v>7838</v>
      </c>
      <c r="G1683">
        <v>-2.75</v>
      </c>
      <c r="H1683">
        <v>-2.75</v>
      </c>
      <c r="L1683" t="s">
        <v>7330</v>
      </c>
      <c r="M1683" t="s">
        <v>7330</v>
      </c>
      <c r="N1683">
        <v>403</v>
      </c>
      <c r="P1683">
        <v>268</v>
      </c>
      <c r="Q1683">
        <v>135</v>
      </c>
      <c r="R1683" t="s">
        <v>7332</v>
      </c>
      <c r="S1683">
        <v>0</v>
      </c>
    </row>
    <row r="1684" spans="1:19">
      <c r="A1684" t="s">
        <v>7334</v>
      </c>
      <c r="B1684">
        <v>103</v>
      </c>
      <c r="C1684" t="s">
        <v>7328</v>
      </c>
      <c r="D1684" t="s">
        <v>7836</v>
      </c>
      <c r="E1684" t="s">
        <v>7846</v>
      </c>
      <c r="F1684" t="s">
        <v>7838</v>
      </c>
      <c r="G1684">
        <v>-3</v>
      </c>
      <c r="H1684">
        <v>-3</v>
      </c>
      <c r="L1684" t="s">
        <v>7330</v>
      </c>
      <c r="M1684" t="s">
        <v>7330</v>
      </c>
      <c r="N1684">
        <v>616</v>
      </c>
      <c r="P1684">
        <v>268</v>
      </c>
      <c r="Q1684">
        <v>348</v>
      </c>
      <c r="R1684" t="s">
        <v>7332</v>
      </c>
      <c r="S1684">
        <v>0</v>
      </c>
    </row>
    <row r="1685" spans="1:19">
      <c r="A1685" t="s">
        <v>7334</v>
      </c>
      <c r="B1685">
        <v>103</v>
      </c>
      <c r="C1685" t="s">
        <v>7328</v>
      </c>
      <c r="D1685" t="s">
        <v>7836</v>
      </c>
      <c r="E1685" t="s">
        <v>7847</v>
      </c>
      <c r="F1685" t="s">
        <v>7838</v>
      </c>
      <c r="G1685">
        <v>-3.25</v>
      </c>
      <c r="H1685">
        <v>-3.25</v>
      </c>
      <c r="L1685" t="s">
        <v>7330</v>
      </c>
      <c r="M1685" t="s">
        <v>7330</v>
      </c>
      <c r="N1685">
        <v>284</v>
      </c>
      <c r="P1685">
        <v>271</v>
      </c>
      <c r="Q1685">
        <v>13</v>
      </c>
      <c r="R1685" t="s">
        <v>7332</v>
      </c>
      <c r="S1685">
        <v>0</v>
      </c>
    </row>
    <row r="1686" spans="1:19">
      <c r="A1686" t="s">
        <v>7334</v>
      </c>
      <c r="B1686">
        <v>103</v>
      </c>
      <c r="C1686" t="s">
        <v>7328</v>
      </c>
      <c r="D1686" t="s">
        <v>7836</v>
      </c>
      <c r="E1686" t="s">
        <v>7848</v>
      </c>
      <c r="F1686" t="s">
        <v>7838</v>
      </c>
      <c r="G1686">
        <v>-3.5</v>
      </c>
      <c r="H1686">
        <v>-3.5</v>
      </c>
      <c r="L1686" t="s">
        <v>7330</v>
      </c>
      <c r="M1686" t="s">
        <v>7330</v>
      </c>
      <c r="N1686">
        <v>778</v>
      </c>
      <c r="P1686">
        <v>268</v>
      </c>
      <c r="Q1686">
        <v>510</v>
      </c>
      <c r="R1686" t="s">
        <v>7332</v>
      </c>
      <c r="S1686">
        <v>0</v>
      </c>
    </row>
    <row r="1687" spans="1:19">
      <c r="A1687" t="s">
        <v>7334</v>
      </c>
      <c r="B1687">
        <v>103</v>
      </c>
      <c r="C1687" t="s">
        <v>7328</v>
      </c>
      <c r="D1687" t="s">
        <v>7836</v>
      </c>
      <c r="E1687" t="s">
        <v>7849</v>
      </c>
      <c r="F1687" t="s">
        <v>7838</v>
      </c>
      <c r="G1687">
        <v>-3.75</v>
      </c>
      <c r="H1687">
        <v>-3.75</v>
      </c>
      <c r="L1687" t="s">
        <v>7330</v>
      </c>
      <c r="M1687" t="s">
        <v>7330</v>
      </c>
      <c r="N1687">
        <v>392</v>
      </c>
      <c r="P1687">
        <v>268</v>
      </c>
      <c r="Q1687">
        <v>124</v>
      </c>
      <c r="R1687" t="s">
        <v>7332</v>
      </c>
      <c r="S1687">
        <v>0</v>
      </c>
    </row>
    <row r="1688" spans="1:19">
      <c r="A1688" t="s">
        <v>7334</v>
      </c>
      <c r="B1688">
        <v>103</v>
      </c>
      <c r="C1688" t="s">
        <v>7328</v>
      </c>
      <c r="D1688" t="s">
        <v>7836</v>
      </c>
      <c r="E1688" t="s">
        <v>7875</v>
      </c>
      <c r="F1688" t="s">
        <v>7838</v>
      </c>
      <c r="G1688">
        <v>-4</v>
      </c>
      <c r="H1688">
        <v>-4</v>
      </c>
      <c r="L1688" t="s">
        <v>7330</v>
      </c>
      <c r="M1688" t="s">
        <v>7330</v>
      </c>
      <c r="N1688">
        <v>651</v>
      </c>
      <c r="P1688">
        <v>268</v>
      </c>
      <c r="Q1688">
        <v>383</v>
      </c>
      <c r="R1688" t="s">
        <v>7332</v>
      </c>
      <c r="S1688">
        <v>0</v>
      </c>
    </row>
    <row r="1689" spans="1:19">
      <c r="A1689" t="s">
        <v>7334</v>
      </c>
      <c r="B1689">
        <v>103</v>
      </c>
      <c r="C1689" t="s">
        <v>7328</v>
      </c>
      <c r="D1689" t="s">
        <v>7836</v>
      </c>
      <c r="E1689" t="s">
        <v>7850</v>
      </c>
      <c r="F1689" t="s">
        <v>7838</v>
      </c>
      <c r="G1689">
        <v>-4.25</v>
      </c>
      <c r="H1689">
        <v>-4.25</v>
      </c>
      <c r="L1689" t="s">
        <v>7330</v>
      </c>
      <c r="M1689" t="s">
        <v>7330</v>
      </c>
      <c r="N1689">
        <v>395</v>
      </c>
      <c r="P1689">
        <v>268</v>
      </c>
      <c r="Q1689">
        <v>127</v>
      </c>
      <c r="R1689" t="s">
        <v>7332</v>
      </c>
      <c r="S1689">
        <v>0</v>
      </c>
    </row>
    <row r="1690" spans="1:19">
      <c r="A1690" t="s">
        <v>7334</v>
      </c>
      <c r="B1690">
        <v>103</v>
      </c>
      <c r="C1690" t="s">
        <v>7328</v>
      </c>
      <c r="D1690" t="s">
        <v>7836</v>
      </c>
      <c r="E1690" t="s">
        <v>7876</v>
      </c>
      <c r="F1690" t="s">
        <v>7838</v>
      </c>
      <c r="G1690">
        <v>-6</v>
      </c>
      <c r="H1690">
        <v>-6</v>
      </c>
      <c r="L1690" t="s">
        <v>7330</v>
      </c>
      <c r="M1690" t="s">
        <v>7330</v>
      </c>
      <c r="N1690">
        <v>602</v>
      </c>
      <c r="P1690">
        <v>264</v>
      </c>
      <c r="Q1690">
        <v>338</v>
      </c>
      <c r="R1690" t="s">
        <v>7332</v>
      </c>
      <c r="S1690">
        <v>0</v>
      </c>
    </row>
    <row r="1691" spans="1:19">
      <c r="A1691" t="s">
        <v>7334</v>
      </c>
      <c r="B1691">
        <v>103</v>
      </c>
      <c r="C1691" t="s">
        <v>7328</v>
      </c>
      <c r="D1691" t="s">
        <v>7836</v>
      </c>
      <c r="E1691" t="s">
        <v>7877</v>
      </c>
      <c r="F1691" t="s">
        <v>7838</v>
      </c>
      <c r="G1691">
        <v>-6.5</v>
      </c>
      <c r="H1691">
        <v>-6.5</v>
      </c>
      <c r="L1691" t="s">
        <v>7330</v>
      </c>
      <c r="M1691" t="s">
        <v>7330</v>
      </c>
      <c r="N1691">
        <v>841</v>
      </c>
      <c r="P1691">
        <v>264</v>
      </c>
      <c r="Q1691">
        <v>577</v>
      </c>
      <c r="R1691" t="s">
        <v>7332</v>
      </c>
      <c r="S1691">
        <v>0</v>
      </c>
    </row>
    <row r="1692" spans="1:19">
      <c r="A1692" t="s">
        <v>7334</v>
      </c>
      <c r="B1692">
        <v>103</v>
      </c>
      <c r="C1692" t="s">
        <v>7328</v>
      </c>
      <c r="D1692" t="s">
        <v>7836</v>
      </c>
      <c r="E1692" t="s">
        <v>7878</v>
      </c>
      <c r="F1692" t="s">
        <v>7838</v>
      </c>
      <c r="G1692">
        <v>-7</v>
      </c>
      <c r="H1692">
        <v>-7</v>
      </c>
      <c r="L1692" t="s">
        <v>7330</v>
      </c>
      <c r="M1692" t="s">
        <v>7330</v>
      </c>
      <c r="N1692">
        <v>765</v>
      </c>
      <c r="P1692">
        <v>234</v>
      </c>
      <c r="Q1692">
        <v>531</v>
      </c>
      <c r="R1692" t="s">
        <v>7332</v>
      </c>
      <c r="S169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A2" sqref="A2:XFD400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4781</v>
      </c>
      <c r="H1" s="183" t="s">
        <v>4782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4781</v>
      </c>
      <c r="V1" s="183" t="s">
        <v>4782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4781</v>
      </c>
      <c r="AI1" s="183" t="s">
        <v>4782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6.5">
      <c r="A2"/>
      <c r="B2" s="183"/>
      <c r="C2" s="183"/>
      <c r="D2" s="183"/>
      <c r="E2" s="183"/>
      <c r="F2" s="183"/>
      <c r="G2" s="183"/>
      <c r="H2" s="183"/>
      <c r="I2"/>
      <c r="J2" s="183"/>
      <c r="K2" s="183"/>
      <c r="L2" s="183"/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7"/>
    </row>
    <row r="3" spans="1:39" ht="16.5">
      <c r="A3"/>
      <c r="B3" s="183"/>
      <c r="C3" s="183"/>
      <c r="D3" s="183"/>
      <c r="E3" s="183"/>
      <c r="F3" s="183"/>
      <c r="G3" s="183"/>
      <c r="H3" s="183"/>
      <c r="I3"/>
      <c r="J3" s="183"/>
      <c r="K3" s="183"/>
      <c r="L3" s="537"/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7"/>
    </row>
    <row r="4" spans="1:39" ht="16.5">
      <c r="A4"/>
      <c r="B4" s="183"/>
      <c r="C4" s="183"/>
      <c r="D4" s="183"/>
      <c r="E4" s="183"/>
      <c r="F4" s="183"/>
      <c r="G4" s="183"/>
      <c r="H4" s="183"/>
      <c r="I4"/>
      <c r="J4" s="183"/>
      <c r="K4" s="183"/>
      <c r="L4" s="537"/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7"/>
    </row>
    <row r="5" spans="1:39" ht="16.5">
      <c r="A5"/>
      <c r="B5" s="183"/>
      <c r="C5" s="183"/>
      <c r="D5" s="183"/>
      <c r="E5" s="183"/>
      <c r="F5" s="183"/>
      <c r="G5" s="183"/>
      <c r="H5" s="183"/>
      <c r="I5"/>
      <c r="J5" s="183"/>
      <c r="K5" s="183"/>
      <c r="L5" s="537"/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7"/>
    </row>
    <row r="6" spans="1:39" ht="16.5">
      <c r="A6"/>
      <c r="B6" s="183"/>
      <c r="C6" s="183"/>
      <c r="D6" s="183"/>
      <c r="E6" s="183"/>
      <c r="F6" s="183"/>
      <c r="G6" s="183"/>
      <c r="H6" s="183"/>
      <c r="I6"/>
      <c r="J6" s="183"/>
      <c r="K6" s="183"/>
      <c r="L6" s="537"/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7"/>
    </row>
    <row r="7" spans="1:39" ht="16.5">
      <c r="A7"/>
      <c r="B7" s="183"/>
      <c r="C7" s="183"/>
      <c r="D7" s="183"/>
      <c r="E7" s="183"/>
      <c r="F7" s="183"/>
      <c r="G7" s="183"/>
      <c r="H7" s="183"/>
      <c r="I7"/>
      <c r="J7" s="183"/>
      <c r="K7" s="183"/>
      <c r="L7" s="537"/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7"/>
    </row>
    <row r="8" spans="1:39" ht="16.5">
      <c r="A8"/>
      <c r="B8" s="183"/>
      <c r="C8" s="183"/>
      <c r="D8" s="183"/>
      <c r="E8" s="183"/>
      <c r="F8" s="183"/>
      <c r="G8" s="183"/>
      <c r="H8" s="183"/>
      <c r="I8"/>
      <c r="J8" s="183"/>
      <c r="K8" s="183"/>
      <c r="L8" s="537"/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7"/>
    </row>
    <row r="9" spans="1:39" ht="16.5">
      <c r="A9"/>
      <c r="B9" s="183"/>
      <c r="C9" s="183"/>
      <c r="D9" s="183"/>
      <c r="E9" s="183"/>
      <c r="F9" s="183"/>
      <c r="G9" s="183"/>
      <c r="H9" s="183"/>
      <c r="I9"/>
      <c r="J9" s="183"/>
      <c r="K9" s="183"/>
      <c r="L9" s="537"/>
    </row>
    <row r="10" spans="1:39" ht="16.5">
      <c r="A10"/>
      <c r="B10" s="183"/>
      <c r="C10" s="183"/>
      <c r="D10" s="183"/>
      <c r="E10" s="183"/>
      <c r="F10" s="183"/>
      <c r="G10" s="183"/>
      <c r="H10" s="183"/>
      <c r="I10"/>
      <c r="J10" s="183"/>
      <c r="K10" s="183"/>
      <c r="L10" s="537"/>
    </row>
    <row r="11" spans="1:39" ht="16.5">
      <c r="A11"/>
      <c r="B11" s="183"/>
      <c r="C11" s="183"/>
      <c r="D11" s="183"/>
      <c r="E11" s="183"/>
      <c r="F11" s="183"/>
      <c r="G11" s="183"/>
      <c r="H11" s="183"/>
      <c r="I11"/>
      <c r="J11" s="183"/>
      <c r="K11" s="183"/>
      <c r="L11" s="537"/>
    </row>
    <row r="12" spans="1:39" ht="16.5">
      <c r="A12"/>
      <c r="B12" s="183"/>
      <c r="C12" s="183"/>
      <c r="D12" s="183"/>
      <c r="E12" s="183"/>
      <c r="F12" s="183"/>
      <c r="G12" s="183"/>
      <c r="H12" s="183"/>
      <c r="I12"/>
      <c r="J12" s="183"/>
      <c r="K12" s="183"/>
      <c r="L12" s="537"/>
    </row>
    <row r="13" spans="1:39" ht="16.5">
      <c r="A13"/>
      <c r="B13" s="183"/>
      <c r="C13" s="183"/>
      <c r="D13" s="183"/>
      <c r="E13" s="183"/>
      <c r="F13" s="183"/>
      <c r="G13" s="183"/>
      <c r="H13" s="183"/>
      <c r="I13"/>
      <c r="J13" s="183"/>
      <c r="K13" s="183"/>
      <c r="L13" s="537"/>
    </row>
    <row r="14" spans="1:39" ht="16.5">
      <c r="A14"/>
      <c r="B14" s="183"/>
      <c r="C14" s="183"/>
      <c r="D14" s="183"/>
      <c r="E14" s="183"/>
      <c r="F14" s="183"/>
      <c r="G14" s="183"/>
      <c r="H14" s="183"/>
      <c r="I14"/>
      <c r="J14" s="183"/>
      <c r="K14" s="183"/>
      <c r="L14" s="537"/>
    </row>
    <row r="15" spans="1:39" ht="16.5">
      <c r="A15"/>
      <c r="B15" s="183"/>
      <c r="C15" s="183"/>
      <c r="D15" s="183"/>
      <c r="E15" s="183"/>
      <c r="F15" s="183"/>
      <c r="G15" s="183"/>
      <c r="H15" s="183"/>
      <c r="I15"/>
      <c r="J15" s="183"/>
      <c r="K15" s="183"/>
      <c r="L15" s="537"/>
    </row>
    <row r="16" spans="1:39" ht="16.5">
      <c r="A16"/>
      <c r="B16" s="183"/>
      <c r="C16" s="183"/>
      <c r="D16" s="183"/>
      <c r="E16" s="183"/>
      <c r="F16" s="183"/>
      <c r="G16" s="183"/>
      <c r="H16" s="183"/>
      <c r="I16"/>
      <c r="J16" s="183"/>
      <c r="K16" s="183"/>
      <c r="L16" s="537"/>
    </row>
    <row r="17" spans="1:12" ht="16.5">
      <c r="A17"/>
      <c r="B17" s="183"/>
      <c r="C17" s="183"/>
      <c r="D17" s="183"/>
      <c r="E17" s="183"/>
      <c r="F17" s="183"/>
      <c r="G17" s="183"/>
      <c r="H17" s="183"/>
      <c r="I17"/>
      <c r="J17" s="183"/>
      <c r="K17" s="183"/>
      <c r="L17" s="537"/>
    </row>
    <row r="18" spans="1:12" ht="16.5">
      <c r="A18"/>
      <c r="B18" s="183"/>
      <c r="C18" s="183"/>
      <c r="D18" s="183"/>
      <c r="E18" s="183"/>
      <c r="F18" s="183"/>
      <c r="G18" s="183"/>
      <c r="H18" s="183"/>
      <c r="I18"/>
      <c r="J18" s="183"/>
      <c r="K18" s="183"/>
      <c r="L18" s="537"/>
    </row>
    <row r="19" spans="1:12" ht="16.5">
      <c r="A19"/>
      <c r="B19" s="183"/>
      <c r="C19" s="183"/>
      <c r="D19" s="183"/>
      <c r="E19" s="183"/>
      <c r="F19" s="183"/>
      <c r="G19" s="183"/>
      <c r="H19" s="183"/>
      <c r="I19"/>
      <c r="J19" s="183"/>
      <c r="K19" s="183"/>
      <c r="L19" s="537"/>
    </row>
    <row r="20" spans="1:12" ht="16.5">
      <c r="A20"/>
      <c r="B20" s="183"/>
      <c r="C20" s="183"/>
      <c r="D20" s="183"/>
      <c r="E20" s="183"/>
      <c r="F20" s="183"/>
      <c r="G20" s="183"/>
      <c r="H20" s="183"/>
      <c r="I20"/>
      <c r="J20" s="183"/>
      <c r="K20" s="183"/>
      <c r="L20" s="537"/>
    </row>
    <row r="21" spans="1:12" ht="16.5">
      <c r="A21"/>
      <c r="B21" s="183"/>
      <c r="C21" s="183"/>
      <c r="D21" s="183"/>
      <c r="E21" s="183"/>
      <c r="F21" s="183"/>
      <c r="G21" s="183"/>
      <c r="H21" s="183"/>
      <c r="I21"/>
      <c r="J21" s="183"/>
      <c r="K21" s="183"/>
      <c r="L21" s="537"/>
    </row>
    <row r="22" spans="1:12" ht="16.5">
      <c r="A22"/>
      <c r="B22" s="183"/>
      <c r="C22" s="183"/>
      <c r="D22" s="183"/>
      <c r="E22" s="183"/>
      <c r="F22" s="183"/>
      <c r="G22" s="183"/>
      <c r="H22" s="183"/>
      <c r="I22"/>
      <c r="J22" s="183"/>
      <c r="K22" s="183"/>
      <c r="L22" s="537"/>
    </row>
    <row r="23" spans="1:12" ht="16.5">
      <c r="A23"/>
      <c r="B23" s="183"/>
      <c r="C23" s="183"/>
      <c r="D23" s="183"/>
      <c r="E23" s="183"/>
      <c r="F23" s="183"/>
      <c r="G23" s="183"/>
      <c r="H23" s="183"/>
      <c r="I23"/>
      <c r="J23" s="183"/>
      <c r="K23" s="183"/>
      <c r="L23" s="537"/>
    </row>
    <row r="24" spans="1:12" ht="16.5">
      <c r="A24"/>
      <c r="B24" s="183"/>
      <c r="C24" s="183"/>
      <c r="D24" s="183"/>
      <c r="E24" s="183"/>
      <c r="F24" s="183"/>
      <c r="G24" s="183"/>
      <c r="H24" s="183"/>
      <c r="I24"/>
      <c r="J24" s="183"/>
      <c r="K24" s="183"/>
      <c r="L24" s="537"/>
    </row>
    <row r="25" spans="1:12" ht="16.5">
      <c r="A25"/>
      <c r="B25" s="183"/>
      <c r="C25" s="183"/>
      <c r="D25" s="183"/>
      <c r="E25" s="183"/>
      <c r="F25" s="183"/>
      <c r="G25" s="183"/>
      <c r="H25" s="183"/>
      <c r="I25"/>
      <c r="J25" s="183"/>
      <c r="K25" s="183"/>
      <c r="L25" s="537"/>
    </row>
    <row r="26" spans="1:12" ht="16.5">
      <c r="A26"/>
      <c r="B26" s="183"/>
      <c r="C26" s="183"/>
      <c r="D26" s="183"/>
      <c r="E26" s="183"/>
      <c r="F26" s="183"/>
      <c r="G26" s="183"/>
      <c r="H26" s="183"/>
      <c r="I26"/>
      <c r="J26" s="183"/>
      <c r="K26" s="183"/>
      <c r="L26" s="537"/>
    </row>
    <row r="27" spans="1:12" ht="16.5">
      <c r="A27"/>
      <c r="B27" s="183"/>
      <c r="C27" s="183"/>
      <c r="D27" s="183"/>
      <c r="E27" s="183"/>
      <c r="F27" s="183"/>
      <c r="G27" s="183"/>
      <c r="H27" s="183"/>
      <c r="I27"/>
      <c r="J27" s="183"/>
      <c r="K27" s="183"/>
      <c r="L27" s="537"/>
    </row>
    <row r="28" spans="1:12" ht="16.5">
      <c r="A28"/>
      <c r="B28" s="183"/>
      <c r="C28" s="183"/>
      <c r="D28" s="183"/>
      <c r="E28" s="183"/>
      <c r="F28" s="183"/>
      <c r="G28" s="183"/>
      <c r="H28" s="183"/>
      <c r="I28"/>
      <c r="J28" s="183"/>
      <c r="K28" s="183"/>
      <c r="L28" s="537"/>
    </row>
    <row r="29" spans="1:12" ht="16.5">
      <c r="A29"/>
      <c r="B29" s="183"/>
      <c r="C29" s="183"/>
      <c r="D29" s="183"/>
      <c r="E29" s="183"/>
      <c r="F29" s="183"/>
      <c r="G29" s="183"/>
      <c r="H29" s="183"/>
      <c r="I29"/>
      <c r="J29" s="183"/>
      <c r="K29" s="183"/>
      <c r="L29" s="537"/>
    </row>
    <row r="30" spans="1:12" ht="16.5">
      <c r="A30"/>
      <c r="B30" s="183"/>
      <c r="C30" s="183"/>
      <c r="D30" s="183"/>
      <c r="E30" s="183"/>
      <c r="F30" s="183"/>
      <c r="G30" s="183"/>
      <c r="H30" s="183"/>
      <c r="I30"/>
      <c r="J30" s="183"/>
      <c r="K30" s="183"/>
      <c r="L30" s="537"/>
    </row>
    <row r="31" spans="1:12" ht="16.5">
      <c r="A31"/>
      <c r="B31" s="183"/>
      <c r="C31" s="183"/>
      <c r="D31" s="183"/>
      <c r="E31" s="183"/>
      <c r="F31" s="183"/>
      <c r="G31" s="183"/>
      <c r="H31" s="183"/>
      <c r="I31"/>
      <c r="J31" s="183"/>
      <c r="K31" s="183"/>
      <c r="L31" s="537"/>
    </row>
    <row r="32" spans="1:12" ht="16.5">
      <c r="A32"/>
      <c r="B32" s="183"/>
      <c r="C32" s="183"/>
      <c r="D32" s="183"/>
      <c r="E32" s="183"/>
      <c r="F32" s="183"/>
      <c r="G32" s="183"/>
      <c r="H32" s="183"/>
      <c r="I32"/>
      <c r="J32" s="183"/>
      <c r="K32" s="183"/>
      <c r="L32" s="537"/>
    </row>
    <row r="33" spans="1:12" ht="16.5">
      <c r="A33"/>
      <c r="B33" s="183"/>
      <c r="C33" s="183"/>
      <c r="D33" s="183"/>
      <c r="E33" s="183"/>
      <c r="F33" s="183"/>
      <c r="G33" s="183"/>
      <c r="H33" s="183"/>
      <c r="I33"/>
      <c r="J33" s="183"/>
      <c r="K33" s="183"/>
      <c r="L33" s="537"/>
    </row>
    <row r="34" spans="1:12" ht="16.5">
      <c r="A34"/>
      <c r="B34" s="183"/>
      <c r="C34" s="183"/>
      <c r="D34" s="183"/>
      <c r="E34" s="183"/>
      <c r="F34" s="183"/>
      <c r="G34" s="183"/>
      <c r="H34" s="183"/>
      <c r="I34"/>
      <c r="J34" s="183"/>
      <c r="K34" s="183"/>
      <c r="L34" s="537"/>
    </row>
    <row r="35" spans="1:12" ht="16.5">
      <c r="A35"/>
      <c r="B35" s="183"/>
      <c r="C35" s="183"/>
      <c r="D35" s="183"/>
      <c r="E35" s="183"/>
      <c r="F35" s="183"/>
      <c r="G35" s="183"/>
      <c r="H35" s="183"/>
      <c r="I35"/>
      <c r="J35" s="183"/>
      <c r="K35" s="183"/>
      <c r="L35" s="537"/>
    </row>
    <row r="36" spans="1:12" ht="16.5">
      <c r="A36"/>
      <c r="B36" s="183"/>
      <c r="C36" s="183"/>
      <c r="D36" s="183"/>
      <c r="E36" s="183"/>
      <c r="F36" s="183"/>
      <c r="G36" s="183"/>
      <c r="H36" s="183"/>
      <c r="I36"/>
      <c r="J36" s="183"/>
      <c r="K36" s="183"/>
      <c r="L36" s="537"/>
    </row>
    <row r="37" spans="1:12" ht="16.5">
      <c r="A37"/>
      <c r="B37" s="183"/>
      <c r="C37" s="183"/>
      <c r="D37" s="183"/>
      <c r="E37" s="183"/>
      <c r="F37" s="183"/>
      <c r="G37" s="183"/>
      <c r="H37" s="183"/>
      <c r="I37"/>
      <c r="J37" s="183"/>
      <c r="K37" s="183"/>
      <c r="L37" s="537"/>
    </row>
    <row r="38" spans="1:12" ht="16.5">
      <c r="A38"/>
      <c r="B38" s="183"/>
      <c r="C38" s="183"/>
      <c r="D38" s="183"/>
      <c r="E38" s="183"/>
      <c r="F38" s="183"/>
      <c r="G38" s="183"/>
      <c r="H38" s="183"/>
      <c r="I38"/>
      <c r="J38" s="183"/>
      <c r="K38" s="183"/>
      <c r="L38" s="537"/>
    </row>
    <row r="39" spans="1:12" ht="16.5">
      <c r="A39"/>
      <c r="B39" s="183"/>
      <c r="C39" s="183"/>
      <c r="D39" s="183"/>
      <c r="E39" s="183"/>
      <c r="F39" s="183"/>
      <c r="G39" s="183"/>
      <c r="H39" s="183"/>
      <c r="I39"/>
      <c r="J39" s="183"/>
      <c r="K39" s="183"/>
      <c r="L39" s="537"/>
    </row>
    <row r="40" spans="1:12" ht="16.5">
      <c r="A40"/>
      <c r="B40" s="183"/>
      <c r="C40" s="183"/>
      <c r="D40" s="183"/>
      <c r="E40" s="183"/>
      <c r="F40" s="183"/>
      <c r="G40" s="183"/>
      <c r="H40" s="183"/>
      <c r="I40"/>
      <c r="J40" s="183"/>
      <c r="K40" s="183"/>
      <c r="L40" s="537"/>
    </row>
    <row r="41" spans="1:12" ht="16.5">
      <c r="A41"/>
      <c r="B41" s="183"/>
      <c r="C41" s="183"/>
      <c r="D41" s="183"/>
      <c r="E41" s="183"/>
      <c r="F41" s="183"/>
      <c r="G41" s="183"/>
      <c r="H41" s="183"/>
      <c r="I41"/>
      <c r="J41" s="183"/>
      <c r="K41" s="183"/>
      <c r="L41" s="537"/>
    </row>
    <row r="42" spans="1:12" ht="16.5">
      <c r="A42"/>
      <c r="B42" s="183"/>
      <c r="C42" s="183"/>
      <c r="D42" s="183"/>
      <c r="E42" s="183"/>
      <c r="F42" s="183"/>
      <c r="G42" s="183"/>
      <c r="H42" s="183"/>
      <c r="I42"/>
      <c r="J42" s="183"/>
      <c r="K42" s="183"/>
      <c r="L42" s="537"/>
    </row>
    <row r="43" spans="1:12" ht="16.5">
      <c r="A43"/>
      <c r="B43" s="183"/>
      <c r="C43" s="183"/>
      <c r="D43" s="183"/>
      <c r="E43" s="183"/>
      <c r="F43" s="183"/>
      <c r="G43" s="183"/>
      <c r="H43" s="183"/>
      <c r="I43"/>
      <c r="J43" s="183"/>
      <c r="K43" s="183"/>
      <c r="L43" s="537"/>
    </row>
    <row r="44" spans="1:12" ht="16.5">
      <c r="A44"/>
      <c r="B44" s="183"/>
      <c r="C44" s="183"/>
      <c r="D44" s="183"/>
      <c r="E44" s="183"/>
      <c r="F44" s="183"/>
      <c r="G44" s="183"/>
      <c r="H44" s="183"/>
      <c r="I44"/>
      <c r="J44" s="183"/>
      <c r="K44" s="183"/>
      <c r="L44" s="537"/>
    </row>
    <row r="45" spans="1:12" ht="16.5">
      <c r="A45"/>
      <c r="B45" s="183"/>
      <c r="C45" s="183"/>
      <c r="D45" s="183"/>
      <c r="E45" s="183"/>
      <c r="F45" s="183"/>
      <c r="G45" s="183"/>
      <c r="H45" s="183"/>
      <c r="I45"/>
      <c r="J45" s="183"/>
      <c r="K45" s="183"/>
      <c r="L45" s="537"/>
    </row>
    <row r="46" spans="1:12" ht="16.5">
      <c r="A46"/>
      <c r="B46" s="183"/>
      <c r="C46" s="183"/>
      <c r="D46" s="183"/>
      <c r="E46" s="183"/>
      <c r="F46" s="183"/>
      <c r="G46" s="183"/>
      <c r="H46" s="183"/>
      <c r="I46"/>
      <c r="J46" s="183"/>
      <c r="K46" s="183"/>
      <c r="L46" s="537"/>
    </row>
    <row r="47" spans="1:12" ht="16.5">
      <c r="A47"/>
      <c r="B47" s="183"/>
      <c r="C47" s="183"/>
      <c r="D47" s="183"/>
      <c r="E47" s="183"/>
      <c r="F47" s="183"/>
      <c r="G47" s="183"/>
      <c r="H47" s="183"/>
      <c r="I47"/>
      <c r="J47" s="183"/>
      <c r="K47" s="183"/>
      <c r="L47" s="537"/>
    </row>
    <row r="48" spans="1:12" ht="16.5">
      <c r="A48"/>
      <c r="B48" s="183"/>
      <c r="C48" s="183"/>
      <c r="D48" s="183"/>
      <c r="E48" s="183"/>
      <c r="F48" s="183"/>
      <c r="G48" s="183"/>
      <c r="H48" s="183"/>
      <c r="I48"/>
      <c r="J48" s="183"/>
      <c r="K48" s="183"/>
      <c r="L48" s="537"/>
    </row>
    <row r="49" spans="1:12" ht="16.5">
      <c r="A49"/>
      <c r="B49" s="183"/>
      <c r="C49" s="183"/>
      <c r="D49" s="183"/>
      <c r="E49" s="183"/>
      <c r="F49" s="183"/>
      <c r="G49" s="183"/>
      <c r="H49" s="183"/>
      <c r="I49"/>
      <c r="J49" s="183"/>
      <c r="K49" s="183"/>
      <c r="L49" s="537"/>
    </row>
    <row r="50" spans="1:12" ht="16.5">
      <c r="A50"/>
      <c r="B50" s="183"/>
      <c r="C50" s="183"/>
      <c r="D50" s="183"/>
      <c r="E50" s="183"/>
      <c r="F50" s="183"/>
      <c r="G50" s="183"/>
      <c r="H50" s="183"/>
      <c r="I50"/>
      <c r="J50" s="183"/>
      <c r="K50" s="183"/>
      <c r="L50" s="537"/>
    </row>
    <row r="51" spans="1:12" ht="16.5">
      <c r="A51"/>
      <c r="B51" s="183"/>
      <c r="C51" s="183"/>
      <c r="D51" s="183"/>
      <c r="E51" s="183"/>
      <c r="F51" s="183"/>
      <c r="G51" s="183"/>
      <c r="H51" s="183"/>
      <c r="I51"/>
      <c r="J51" s="183"/>
      <c r="K51" s="183"/>
      <c r="L51" s="537"/>
    </row>
    <row r="52" spans="1:12" ht="16.5">
      <c r="A52"/>
      <c r="B52" s="183"/>
      <c r="C52" s="183"/>
      <c r="D52" s="183"/>
      <c r="E52" s="183"/>
      <c r="F52" s="183"/>
      <c r="G52" s="183"/>
      <c r="H52" s="183"/>
      <c r="I52"/>
      <c r="J52" s="183"/>
      <c r="K52" s="183"/>
      <c r="L52" s="537"/>
    </row>
    <row r="53" spans="1:12" ht="16.5">
      <c r="A53"/>
      <c r="B53" s="183"/>
      <c r="C53" s="183"/>
      <c r="D53" s="183"/>
      <c r="E53" s="183"/>
      <c r="F53" s="183"/>
      <c r="G53" s="183"/>
      <c r="H53" s="183"/>
      <c r="I53"/>
      <c r="J53" s="183"/>
      <c r="K53" s="183"/>
      <c r="L53" s="537"/>
    </row>
    <row r="54" spans="1:12" ht="16.5">
      <c r="A54"/>
      <c r="B54" s="183"/>
      <c r="C54" s="183"/>
      <c r="D54" s="183"/>
      <c r="E54" s="183"/>
      <c r="F54" s="183"/>
      <c r="G54" s="183"/>
      <c r="H54" s="183"/>
      <c r="I54"/>
      <c r="J54" s="183"/>
      <c r="K54" s="183"/>
      <c r="L54" s="537"/>
    </row>
    <row r="55" spans="1:12" ht="16.5">
      <c r="A55"/>
      <c r="B55" s="183"/>
      <c r="C55" s="183"/>
      <c r="D55" s="183"/>
      <c r="E55" s="183"/>
      <c r="F55" s="183"/>
      <c r="G55" s="183"/>
      <c r="H55" s="183"/>
      <c r="I55"/>
      <c r="J55" s="183"/>
      <c r="K55" s="183"/>
      <c r="L55" s="537"/>
    </row>
    <row r="56" spans="1:12" ht="16.5">
      <c r="A56"/>
      <c r="B56" s="183"/>
      <c r="C56" s="183"/>
      <c r="D56" s="183"/>
      <c r="E56" s="183"/>
      <c r="F56" s="183"/>
      <c r="G56" s="183"/>
      <c r="H56" s="183"/>
      <c r="I56"/>
      <c r="J56" s="183"/>
      <c r="K56" s="183"/>
      <c r="L56" s="537"/>
    </row>
    <row r="57" spans="1:12" ht="16.5">
      <c r="A57"/>
      <c r="B57" s="183"/>
      <c r="C57" s="183"/>
      <c r="D57" s="183"/>
      <c r="E57" s="183"/>
      <c r="F57" s="183"/>
      <c r="G57" s="183"/>
      <c r="H57" s="183"/>
      <c r="I57"/>
      <c r="J57" s="183"/>
      <c r="K57" s="183"/>
      <c r="L57" s="537"/>
    </row>
    <row r="58" spans="1:12" ht="16.5">
      <c r="A58"/>
      <c r="B58" s="183"/>
      <c r="C58" s="183"/>
      <c r="D58" s="183"/>
      <c r="E58" s="183"/>
      <c r="F58" s="183"/>
      <c r="G58" s="183"/>
      <c r="H58" s="183"/>
      <c r="I58"/>
      <c r="J58" s="183"/>
      <c r="K58" s="183"/>
      <c r="L58" s="537"/>
    </row>
    <row r="59" spans="1:12" ht="16.5">
      <c r="A59"/>
      <c r="B59" s="183"/>
      <c r="C59" s="183"/>
      <c r="D59" s="183"/>
      <c r="E59" s="183"/>
      <c r="F59" s="183"/>
      <c r="G59" s="183"/>
      <c r="H59" s="183"/>
      <c r="I59"/>
      <c r="J59" s="183"/>
      <c r="K59" s="183"/>
      <c r="L59" s="537"/>
    </row>
    <row r="60" spans="1:12" ht="16.5">
      <c r="A60"/>
      <c r="B60" s="183"/>
      <c r="C60" s="183"/>
      <c r="D60" s="183"/>
      <c r="E60" s="183"/>
      <c r="F60" s="183"/>
      <c r="G60" s="183"/>
      <c r="H60" s="183"/>
      <c r="I60"/>
      <c r="J60" s="183"/>
      <c r="K60" s="183"/>
      <c r="L60" s="537"/>
    </row>
    <row r="61" spans="1:12" ht="16.5">
      <c r="A61"/>
      <c r="B61" s="183"/>
      <c r="C61" s="183"/>
      <c r="D61" s="183"/>
      <c r="E61" s="183"/>
      <c r="F61" s="183"/>
      <c r="G61" s="183"/>
      <c r="H61" s="183"/>
      <c r="I61"/>
      <c r="J61" s="183"/>
      <c r="K61" s="183"/>
      <c r="L61" s="537"/>
    </row>
    <row r="62" spans="1:12" ht="16.5">
      <c r="A62"/>
      <c r="B62" s="183"/>
      <c r="C62" s="183"/>
      <c r="D62" s="183"/>
      <c r="E62" s="183"/>
      <c r="F62" s="183"/>
      <c r="G62" s="183"/>
      <c r="H62" s="183"/>
      <c r="I62"/>
      <c r="J62" s="183"/>
      <c r="K62" s="183"/>
      <c r="L62" s="537"/>
    </row>
    <row r="63" spans="1:12" ht="16.5">
      <c r="A63"/>
      <c r="B63" s="183"/>
      <c r="C63" s="183"/>
      <c r="D63" s="183"/>
      <c r="E63" s="183"/>
      <c r="F63" s="183"/>
      <c r="G63" s="183"/>
      <c r="H63" s="183"/>
      <c r="I63"/>
      <c r="J63" s="183"/>
      <c r="K63" s="183"/>
      <c r="L63" s="537"/>
    </row>
    <row r="64" spans="1:12" ht="16.5">
      <c r="A64"/>
      <c r="B64" s="183"/>
      <c r="C64" s="183"/>
      <c r="D64" s="183"/>
      <c r="E64" s="183"/>
      <c r="F64" s="183"/>
      <c r="G64" s="183"/>
      <c r="H64" s="183"/>
      <c r="I64"/>
      <c r="J64" s="183"/>
      <c r="K64" s="183"/>
      <c r="L64" s="537"/>
    </row>
    <row r="65" spans="1:12" ht="16.5">
      <c r="A65"/>
      <c r="B65" s="183"/>
      <c r="C65" s="183"/>
      <c r="D65" s="183"/>
      <c r="E65" s="183"/>
      <c r="F65" s="183"/>
      <c r="G65" s="183"/>
      <c r="H65" s="183"/>
      <c r="I65"/>
      <c r="J65" s="183"/>
      <c r="K65" s="183"/>
      <c r="L65" s="537"/>
    </row>
    <row r="66" spans="1:12" ht="16.5">
      <c r="A66"/>
      <c r="B66" s="183"/>
      <c r="C66" s="183"/>
      <c r="D66" s="183"/>
      <c r="E66" s="183"/>
      <c r="F66" s="183"/>
      <c r="G66" s="183"/>
      <c r="H66" s="183"/>
      <c r="I66"/>
      <c r="J66" s="183"/>
      <c r="K66" s="183"/>
      <c r="L66" s="537"/>
    </row>
    <row r="67" spans="1:12" ht="16.5">
      <c r="A67"/>
      <c r="B67" s="183"/>
      <c r="C67" s="183"/>
      <c r="D67" s="183"/>
      <c r="E67" s="183"/>
      <c r="F67" s="183"/>
      <c r="G67" s="183"/>
      <c r="H67" s="183"/>
      <c r="I67"/>
      <c r="J67" s="183"/>
      <c r="K67" s="183"/>
      <c r="L67" s="537"/>
    </row>
    <row r="68" spans="1:12" ht="16.5">
      <c r="A68"/>
      <c r="B68" s="183"/>
      <c r="C68" s="183"/>
      <c r="D68" s="183"/>
      <c r="E68" s="183"/>
      <c r="F68" s="183"/>
      <c r="G68" s="183"/>
      <c r="H68" s="183"/>
      <c r="I68"/>
      <c r="J68" s="183"/>
      <c r="K68" s="183"/>
      <c r="L68" s="537"/>
    </row>
    <row r="69" spans="1:12" ht="16.5">
      <c r="A69"/>
      <c r="B69" s="183"/>
      <c r="C69" s="183"/>
      <c r="D69" s="183"/>
      <c r="E69" s="183"/>
      <c r="F69" s="183"/>
      <c r="G69" s="183"/>
      <c r="H69" s="183"/>
      <c r="I69"/>
      <c r="J69" s="183"/>
      <c r="K69" s="183"/>
      <c r="L69" s="537"/>
    </row>
    <row r="70" spans="1:12" ht="16.5">
      <c r="A70"/>
      <c r="B70" s="183"/>
      <c r="C70" s="183"/>
      <c r="D70" s="183"/>
      <c r="E70" s="183"/>
      <c r="F70" s="183"/>
      <c r="G70" s="183"/>
      <c r="H70" s="183"/>
      <c r="I70"/>
      <c r="J70" s="183"/>
      <c r="K70" s="183"/>
      <c r="L70" s="537"/>
    </row>
    <row r="71" spans="1:12" ht="16.5">
      <c r="A71"/>
      <c r="B71" s="183"/>
      <c r="C71" s="183"/>
      <c r="D71" s="183"/>
      <c r="E71" s="183"/>
      <c r="F71" s="183"/>
      <c r="G71" s="183"/>
      <c r="H71" s="183"/>
      <c r="I71"/>
      <c r="J71" s="183"/>
      <c r="K71" s="183"/>
      <c r="L71" s="537"/>
    </row>
    <row r="72" spans="1:12" ht="16.5">
      <c r="A72"/>
      <c r="B72" s="183"/>
      <c r="C72" s="183"/>
      <c r="D72" s="183"/>
      <c r="E72" s="183"/>
      <c r="F72" s="183"/>
      <c r="G72" s="183"/>
      <c r="H72" s="183"/>
      <c r="I72"/>
      <c r="J72" s="183"/>
      <c r="K72" s="183"/>
      <c r="L72" s="537"/>
    </row>
    <row r="73" spans="1:12" ht="16.5">
      <c r="A73"/>
      <c r="B73" s="183"/>
      <c r="C73" s="183"/>
      <c r="D73" s="183"/>
      <c r="E73" s="183"/>
      <c r="F73" s="183"/>
      <c r="G73" s="183"/>
      <c r="H73" s="183"/>
      <c r="I73"/>
      <c r="J73" s="183"/>
      <c r="K73" s="183"/>
      <c r="L73" s="537"/>
    </row>
    <row r="74" spans="1:12" ht="16.5">
      <c r="A74"/>
      <c r="B74" s="183"/>
      <c r="C74" s="183"/>
      <c r="D74" s="183"/>
      <c r="E74" s="183"/>
      <c r="F74" s="183"/>
      <c r="G74" s="183"/>
      <c r="H74" s="183"/>
      <c r="I74"/>
      <c r="J74" s="183"/>
      <c r="K74" s="183"/>
      <c r="L74" s="537"/>
    </row>
    <row r="75" spans="1:12" ht="16.5">
      <c r="A75"/>
      <c r="B75" s="183"/>
      <c r="C75" s="183"/>
      <c r="D75" s="183"/>
      <c r="E75" s="183"/>
      <c r="F75" s="183"/>
      <c r="G75" s="183"/>
      <c r="H75" s="183"/>
      <c r="I75"/>
      <c r="J75" s="183"/>
      <c r="K75" s="183"/>
      <c r="L75" s="537"/>
    </row>
    <row r="76" spans="1:12" ht="16.5">
      <c r="A76"/>
      <c r="B76" s="183"/>
      <c r="C76" s="183"/>
      <c r="D76" s="183"/>
      <c r="E76" s="183"/>
      <c r="F76" s="183"/>
      <c r="G76" s="183"/>
      <c r="H76" s="183"/>
      <c r="I76"/>
      <c r="J76" s="183"/>
      <c r="K76" s="183"/>
      <c r="L76" s="537"/>
    </row>
    <row r="77" spans="1:12" ht="16.5">
      <c r="A77"/>
      <c r="B77" s="183"/>
      <c r="C77" s="183"/>
      <c r="D77" s="183"/>
      <c r="E77" s="183"/>
      <c r="F77" s="183"/>
      <c r="G77" s="183"/>
      <c r="H77" s="183"/>
      <c r="I77"/>
      <c r="J77" s="183"/>
      <c r="K77" s="183"/>
      <c r="L77" s="537"/>
    </row>
    <row r="78" spans="1:12" ht="16.5">
      <c r="A78"/>
      <c r="B78" s="183"/>
      <c r="C78" s="183"/>
      <c r="D78" s="183"/>
      <c r="E78" s="183"/>
      <c r="F78" s="183"/>
      <c r="G78" s="183"/>
      <c r="H78" s="183"/>
      <c r="I78"/>
      <c r="J78" s="183"/>
      <c r="K78" s="183"/>
      <c r="L78" s="537"/>
    </row>
    <row r="79" spans="1:12" ht="16.5">
      <c r="A79"/>
      <c r="B79" s="183"/>
      <c r="C79" s="183"/>
      <c r="D79" s="183"/>
      <c r="E79" s="183"/>
      <c r="F79" s="183"/>
      <c r="G79" s="183"/>
      <c r="H79" s="183"/>
      <c r="I79"/>
      <c r="J79" s="183"/>
      <c r="K79" s="183"/>
      <c r="L79" s="537"/>
    </row>
    <row r="80" spans="1:12" ht="16.5">
      <c r="A80"/>
      <c r="B80" s="183"/>
      <c r="C80" s="183"/>
      <c r="D80" s="183"/>
      <c r="E80" s="183"/>
      <c r="F80" s="183"/>
      <c r="G80" s="183"/>
      <c r="H80" s="183"/>
      <c r="I80"/>
      <c r="J80" s="183"/>
      <c r="K80" s="183"/>
      <c r="L80" s="537"/>
    </row>
    <row r="81" spans="1:12" ht="16.5">
      <c r="A81"/>
      <c r="B81" s="183"/>
      <c r="C81" s="183"/>
      <c r="D81" s="183"/>
      <c r="E81" s="183"/>
      <c r="F81" s="183"/>
      <c r="G81" s="183"/>
      <c r="H81" s="183"/>
      <c r="I81"/>
      <c r="J81" s="183"/>
      <c r="K81" s="183"/>
      <c r="L81" s="537"/>
    </row>
    <row r="82" spans="1:12" ht="16.5">
      <c r="A82"/>
      <c r="B82" s="183"/>
      <c r="C82" s="183"/>
      <c r="D82" s="183"/>
      <c r="E82" s="183"/>
      <c r="F82" s="183"/>
      <c r="G82" s="183"/>
      <c r="H82" s="183"/>
      <c r="I82"/>
      <c r="J82" s="183"/>
      <c r="K82" s="183"/>
      <c r="L82" s="537"/>
    </row>
    <row r="83" spans="1:12" ht="16.5">
      <c r="A83"/>
      <c r="B83" s="183"/>
      <c r="C83" s="183"/>
      <c r="D83" s="183"/>
      <c r="E83" s="183"/>
      <c r="F83" s="183"/>
      <c r="G83" s="183"/>
      <c r="H83" s="183"/>
      <c r="I83"/>
      <c r="J83" s="183"/>
      <c r="K83" s="183"/>
      <c r="L83" s="537"/>
    </row>
    <row r="84" spans="1:12" ht="16.5">
      <c r="A84"/>
      <c r="B84" s="183"/>
      <c r="C84" s="183"/>
      <c r="D84" s="183"/>
      <c r="E84" s="183"/>
      <c r="F84" s="183"/>
      <c r="G84" s="183"/>
      <c r="H84" s="183"/>
      <c r="I84"/>
      <c r="J84" s="183"/>
      <c r="K84" s="183"/>
      <c r="L84" s="537"/>
    </row>
    <row r="85" spans="1:12" ht="16.5">
      <c r="A85"/>
      <c r="B85" s="183"/>
      <c r="C85" s="183"/>
      <c r="D85" s="183"/>
      <c r="E85" s="183"/>
      <c r="F85" s="183"/>
      <c r="G85" s="183"/>
      <c r="H85" s="183"/>
      <c r="I85"/>
      <c r="J85" s="183"/>
      <c r="K85" s="183"/>
      <c r="L85" s="537"/>
    </row>
    <row r="86" spans="1:12" ht="16.5">
      <c r="A86"/>
      <c r="B86" s="183"/>
      <c r="C86" s="183"/>
      <c r="D86" s="183"/>
      <c r="E86" s="183"/>
      <c r="F86" s="183"/>
      <c r="G86" s="183"/>
      <c r="H86" s="183"/>
      <c r="I86"/>
      <c r="J86" s="183"/>
      <c r="K86" s="183"/>
      <c r="L86" s="537"/>
    </row>
    <row r="87" spans="1:12" ht="16.5">
      <c r="A87"/>
      <c r="B87" s="183"/>
      <c r="C87" s="183"/>
      <c r="D87" s="183"/>
      <c r="E87" s="183"/>
      <c r="F87" s="183"/>
      <c r="G87" s="183"/>
      <c r="H87" s="183"/>
      <c r="I87"/>
      <c r="J87" s="183"/>
      <c r="K87" s="183"/>
      <c r="L87" s="537"/>
    </row>
    <row r="88" spans="1:12" ht="16.5">
      <c r="A88"/>
      <c r="B88" s="183"/>
      <c r="C88" s="183"/>
      <c r="D88" s="183"/>
      <c r="E88" s="183"/>
      <c r="F88" s="183"/>
      <c r="G88" s="183"/>
      <c r="H88" s="183"/>
      <c r="I88"/>
      <c r="J88" s="183"/>
      <c r="K88" s="183"/>
      <c r="L88" s="537"/>
    </row>
    <row r="89" spans="1:12" ht="16.5">
      <c r="A89"/>
      <c r="B89" s="183"/>
      <c r="C89" s="183"/>
      <c r="D89" s="183"/>
      <c r="E89" s="183"/>
      <c r="F89" s="183"/>
      <c r="G89" s="183"/>
      <c r="H89" s="183"/>
      <c r="I89"/>
      <c r="J89" s="183"/>
      <c r="K89" s="183"/>
      <c r="L89" s="537"/>
    </row>
    <row r="90" spans="1:12" ht="16.5">
      <c r="A90"/>
      <c r="B90" s="183"/>
      <c r="C90" s="183"/>
      <c r="D90" s="183"/>
      <c r="E90" s="183"/>
      <c r="F90" s="183"/>
      <c r="G90" s="183"/>
      <c r="H90" s="183"/>
      <c r="I90"/>
      <c r="J90" s="183"/>
      <c r="K90" s="183"/>
      <c r="L90" s="537"/>
    </row>
    <row r="91" spans="1:12" ht="16.5">
      <c r="A91"/>
      <c r="B91" s="183"/>
      <c r="C91" s="183"/>
      <c r="D91" s="183"/>
      <c r="E91" s="183"/>
      <c r="F91" s="183"/>
      <c r="G91" s="183"/>
      <c r="H91" s="183"/>
      <c r="I91"/>
      <c r="J91" s="183"/>
      <c r="K91" s="183"/>
      <c r="L91" s="537"/>
    </row>
    <row r="92" spans="1:12" ht="16.5">
      <c r="A92"/>
      <c r="B92" s="183"/>
      <c r="C92" s="183"/>
      <c r="D92" s="183"/>
      <c r="E92" s="183"/>
      <c r="F92" s="183"/>
      <c r="G92" s="183"/>
      <c r="H92" s="183"/>
      <c r="I92"/>
      <c r="J92" s="183"/>
      <c r="K92" s="183"/>
      <c r="L92" s="537"/>
    </row>
    <row r="93" spans="1:12" ht="16.5">
      <c r="A93"/>
      <c r="B93" s="183"/>
      <c r="C93" s="183"/>
      <c r="D93" s="183"/>
      <c r="E93" s="183"/>
      <c r="F93" s="183"/>
      <c r="G93" s="183"/>
      <c r="H93" s="183"/>
      <c r="I93"/>
      <c r="J93" s="183"/>
      <c r="K93" s="183"/>
      <c r="L93" s="537"/>
    </row>
    <row r="94" spans="1:12" ht="16.5">
      <c r="A94"/>
      <c r="B94" s="183"/>
      <c r="C94" s="183"/>
      <c r="D94" s="183"/>
      <c r="E94" s="183"/>
      <c r="F94" s="183"/>
      <c r="G94" s="183"/>
      <c r="H94" s="183"/>
      <c r="I94"/>
      <c r="J94" s="183"/>
      <c r="K94" s="183"/>
      <c r="L94" s="537"/>
    </row>
    <row r="95" spans="1:12" ht="16.5">
      <c r="A95"/>
      <c r="B95" s="183"/>
      <c r="C95" s="183"/>
      <c r="D95" s="183"/>
      <c r="E95" s="183"/>
      <c r="F95" s="183"/>
      <c r="G95" s="183"/>
      <c r="H95" s="183"/>
      <c r="I95"/>
      <c r="J95" s="183"/>
      <c r="K95" s="183"/>
      <c r="L95" s="537"/>
    </row>
    <row r="96" spans="1:12" ht="16.5">
      <c r="A96"/>
      <c r="B96" s="183"/>
      <c r="C96" s="183"/>
      <c r="D96" s="183"/>
      <c r="E96" s="183"/>
      <c r="F96" s="183"/>
      <c r="G96" s="183"/>
      <c r="H96" s="183"/>
      <c r="I96"/>
      <c r="J96" s="183"/>
      <c r="K96" s="183"/>
      <c r="L96" s="537"/>
    </row>
    <row r="97" spans="1:12" ht="16.5">
      <c r="A97"/>
      <c r="B97" s="183"/>
      <c r="C97" s="183"/>
      <c r="D97" s="183"/>
      <c r="E97" s="183"/>
      <c r="F97" s="183"/>
      <c r="G97" s="183"/>
      <c r="H97" s="183"/>
      <c r="I97"/>
      <c r="J97" s="183"/>
      <c r="K97" s="183"/>
      <c r="L97" s="537"/>
    </row>
    <row r="98" spans="1:12" ht="16.5">
      <c r="A98"/>
      <c r="B98" s="183"/>
      <c r="C98" s="183"/>
      <c r="D98" s="183"/>
      <c r="E98" s="183"/>
      <c r="F98" s="183"/>
      <c r="G98" s="183"/>
      <c r="H98" s="183"/>
      <c r="I98"/>
      <c r="J98" s="183"/>
      <c r="K98" s="183"/>
      <c r="L98" s="537"/>
    </row>
    <row r="99" spans="1:12" ht="16.5">
      <c r="A99"/>
      <c r="B99" s="183"/>
      <c r="C99" s="183"/>
      <c r="D99" s="183"/>
      <c r="E99" s="183"/>
      <c r="F99" s="183"/>
      <c r="G99" s="183"/>
      <c r="H99" s="183"/>
      <c r="I99"/>
      <c r="J99" s="183"/>
      <c r="K99" s="183"/>
      <c r="L99" s="537"/>
    </row>
    <row r="100" spans="1:12" ht="16.5">
      <c r="A100"/>
      <c r="B100" s="183"/>
      <c r="C100" s="183"/>
      <c r="D100" s="183"/>
      <c r="E100" s="183"/>
      <c r="F100" s="183"/>
      <c r="G100" s="183"/>
      <c r="H100" s="183"/>
      <c r="I100"/>
      <c r="J100" s="183"/>
      <c r="K100" s="183"/>
      <c r="L100" s="537"/>
    </row>
    <row r="101" spans="1:12" ht="16.5">
      <c r="A101"/>
      <c r="B101" s="183"/>
      <c r="C101" s="183"/>
      <c r="D101" s="183"/>
      <c r="E101" s="183"/>
      <c r="F101" s="183"/>
      <c r="G101" s="183"/>
      <c r="H101" s="183"/>
      <c r="I101"/>
      <c r="J101" s="183"/>
      <c r="K101" s="183"/>
      <c r="L101" s="537"/>
    </row>
    <row r="102" spans="1:12" ht="16.5">
      <c r="A102"/>
      <c r="B102" s="183"/>
      <c r="C102" s="183"/>
      <c r="D102" s="183"/>
      <c r="E102" s="183"/>
      <c r="F102" s="183"/>
      <c r="G102" s="183"/>
      <c r="H102" s="183"/>
      <c r="I102"/>
      <c r="J102" s="183"/>
      <c r="K102" s="183"/>
      <c r="L102" s="537"/>
    </row>
    <row r="103" spans="1:12" ht="16.5">
      <c r="A103"/>
      <c r="B103" s="183"/>
      <c r="C103" s="183"/>
      <c r="D103" s="183"/>
      <c r="E103" s="183"/>
      <c r="F103" s="183"/>
      <c r="G103" s="183"/>
      <c r="H103" s="183"/>
      <c r="I103"/>
      <c r="J103" s="183"/>
      <c r="K103" s="183"/>
      <c r="L103" s="537"/>
    </row>
    <row r="104" spans="1:12" ht="16.5">
      <c r="A104"/>
      <c r="B104" s="183"/>
      <c r="C104" s="183"/>
      <c r="D104" s="183"/>
      <c r="E104" s="183"/>
      <c r="F104" s="183"/>
      <c r="G104" s="183"/>
      <c r="H104" s="183"/>
      <c r="I104"/>
      <c r="J104" s="183"/>
      <c r="K104" s="183"/>
      <c r="L104" s="537"/>
    </row>
    <row r="105" spans="1:12" ht="16.5">
      <c r="A105"/>
      <c r="B105" s="183"/>
      <c r="C105" s="183"/>
      <c r="D105" s="183"/>
      <c r="E105" s="183"/>
      <c r="F105" s="183"/>
      <c r="G105" s="183"/>
      <c r="H105" s="183"/>
      <c r="I105"/>
      <c r="J105" s="183"/>
      <c r="K105" s="183"/>
      <c r="L105" s="537"/>
    </row>
    <row r="106" spans="1:12" ht="16.5">
      <c r="A106"/>
      <c r="B106" s="183"/>
      <c r="C106" s="183"/>
      <c r="D106" s="183"/>
      <c r="E106" s="183"/>
      <c r="F106" s="183"/>
      <c r="G106" s="183"/>
      <c r="H106" s="183"/>
      <c r="I106"/>
      <c r="J106" s="183"/>
      <c r="K106" s="183"/>
      <c r="L106" s="537"/>
    </row>
    <row r="107" spans="1:12" ht="16.5">
      <c r="A107"/>
      <c r="B107" s="183"/>
      <c r="C107" s="183"/>
      <c r="D107" s="183"/>
      <c r="E107" s="183"/>
      <c r="F107" s="183"/>
      <c r="G107" s="183"/>
      <c r="H107" s="183"/>
      <c r="I107"/>
      <c r="J107" s="183"/>
      <c r="K107" s="183"/>
      <c r="L107" s="537"/>
    </row>
    <row r="108" spans="1:12" ht="16.5">
      <c r="A108"/>
      <c r="B108" s="183"/>
      <c r="C108" s="183"/>
      <c r="D108" s="183"/>
      <c r="E108" s="183"/>
      <c r="F108" s="183"/>
      <c r="G108" s="183"/>
      <c r="H108" s="183"/>
      <c r="I108"/>
      <c r="J108" s="183"/>
      <c r="K108" s="183"/>
      <c r="L108" s="537"/>
    </row>
    <row r="109" spans="1:12" ht="16.5">
      <c r="A109"/>
      <c r="B109" s="183"/>
      <c r="C109" s="183"/>
      <c r="D109" s="183"/>
      <c r="E109" s="183"/>
      <c r="F109" s="183"/>
      <c r="G109" s="183"/>
      <c r="H109" s="183"/>
      <c r="I109"/>
      <c r="J109" s="183"/>
      <c r="K109" s="183"/>
      <c r="L109" s="537"/>
    </row>
    <row r="110" spans="1:12" ht="16.5">
      <c r="A110"/>
      <c r="B110" s="183"/>
      <c r="C110" s="183"/>
      <c r="D110" s="183"/>
      <c r="E110" s="183"/>
      <c r="F110" s="183"/>
      <c r="G110" s="183"/>
      <c r="H110" s="183"/>
      <c r="I110"/>
      <c r="J110" s="183"/>
      <c r="K110" s="183"/>
      <c r="L110" s="537"/>
    </row>
    <row r="111" spans="1:12" ht="16.5">
      <c r="A111"/>
      <c r="B111" s="183"/>
      <c r="C111" s="183"/>
      <c r="D111" s="183"/>
      <c r="E111" s="183"/>
      <c r="F111" s="183"/>
      <c r="G111" s="183"/>
      <c r="H111" s="183"/>
      <c r="I111"/>
      <c r="J111" s="183"/>
      <c r="K111" s="183"/>
      <c r="L111" s="537"/>
    </row>
    <row r="112" spans="1:12" ht="16.5">
      <c r="A112"/>
      <c r="B112" s="183"/>
      <c r="C112" s="183"/>
      <c r="D112" s="183"/>
      <c r="E112" s="183"/>
      <c r="F112" s="183"/>
      <c r="G112" s="183"/>
      <c r="H112" s="183"/>
      <c r="I112"/>
      <c r="J112" s="183"/>
      <c r="K112" s="183"/>
      <c r="L112" s="537"/>
    </row>
    <row r="113" spans="1:12" ht="16.5">
      <c r="A113"/>
      <c r="B113" s="183"/>
      <c r="C113" s="183"/>
      <c r="D113" s="183"/>
      <c r="E113" s="183"/>
      <c r="F113" s="183"/>
      <c r="G113" s="183"/>
      <c r="H113" s="183"/>
      <c r="I113"/>
      <c r="J113" s="183"/>
      <c r="K113" s="183"/>
      <c r="L113" s="537"/>
    </row>
    <row r="114" spans="1:12" ht="16.5">
      <c r="A114"/>
      <c r="B114" s="183"/>
      <c r="C114" s="183"/>
      <c r="D114" s="183"/>
      <c r="E114" s="183"/>
      <c r="F114" s="183"/>
      <c r="G114" s="183"/>
      <c r="H114" s="183"/>
      <c r="I114"/>
      <c r="J114" s="183"/>
      <c r="K114" s="183"/>
      <c r="L114" s="537"/>
    </row>
    <row r="115" spans="1:12" ht="16.5">
      <c r="A115"/>
      <c r="B115" s="183"/>
      <c r="C115" s="183"/>
      <c r="D115" s="183"/>
      <c r="E115" s="183"/>
      <c r="F115" s="183"/>
      <c r="G115" s="183"/>
      <c r="H115" s="183"/>
      <c r="I115"/>
      <c r="J115" s="183"/>
      <c r="K115" s="183"/>
      <c r="L115" s="537"/>
    </row>
    <row r="116" spans="1:12" ht="16.5">
      <c r="A116"/>
      <c r="B116" s="183"/>
      <c r="C116" s="183"/>
      <c r="D116" s="183"/>
      <c r="E116" s="183"/>
      <c r="F116" s="183"/>
      <c r="G116" s="183"/>
      <c r="H116" s="183"/>
      <c r="I116"/>
      <c r="J116" s="183"/>
      <c r="K116" s="183"/>
      <c r="L116" s="537"/>
    </row>
    <row r="117" spans="1:12" ht="16.5">
      <c r="A117"/>
      <c r="B117" s="183"/>
      <c r="C117" s="183"/>
      <c r="D117" s="183"/>
      <c r="E117" s="183"/>
      <c r="F117" s="183"/>
      <c r="G117" s="183"/>
      <c r="H117" s="183"/>
      <c r="I117"/>
      <c r="J117" s="183"/>
      <c r="K117" s="183"/>
      <c r="L117" s="537"/>
    </row>
    <row r="118" spans="1:12" ht="16.5">
      <c r="A118"/>
      <c r="B118" s="183"/>
      <c r="C118" s="183"/>
      <c r="D118" s="183"/>
      <c r="E118" s="183"/>
      <c r="F118" s="183"/>
      <c r="G118" s="183"/>
      <c r="H118" s="183"/>
      <c r="I118"/>
      <c r="J118" s="183"/>
      <c r="K118" s="183"/>
      <c r="L118" s="537"/>
    </row>
    <row r="119" spans="1:12" ht="16.5">
      <c r="A119"/>
      <c r="B119" s="183"/>
      <c r="C119" s="183"/>
      <c r="D119" s="183"/>
      <c r="E119" s="183"/>
      <c r="F119" s="183"/>
      <c r="G119" s="183"/>
      <c r="H119" s="183"/>
      <c r="I119"/>
      <c r="J119" s="183"/>
      <c r="K119" s="183"/>
      <c r="L119" s="537"/>
    </row>
    <row r="120" spans="1:12" ht="16.5">
      <c r="A120"/>
      <c r="B120" s="183"/>
      <c r="C120" s="183"/>
      <c r="D120" s="183"/>
      <c r="E120" s="183"/>
      <c r="F120" s="183"/>
      <c r="G120" s="183"/>
      <c r="H120" s="183"/>
      <c r="I120"/>
      <c r="J120" s="183"/>
      <c r="K120" s="183"/>
      <c r="L120" s="537"/>
    </row>
    <row r="121" spans="1:12" ht="16.5">
      <c r="A121"/>
      <c r="B121" s="183"/>
      <c r="C121" s="183"/>
      <c r="D121" s="183"/>
      <c r="E121" s="183"/>
      <c r="F121" s="183"/>
      <c r="G121" s="183"/>
      <c r="H121" s="183"/>
      <c r="I121"/>
      <c r="J121" s="183"/>
      <c r="K121" s="183"/>
      <c r="L121" s="537"/>
    </row>
    <row r="122" spans="1:12" ht="16.5">
      <c r="A122"/>
      <c r="B122" s="183"/>
      <c r="C122" s="183"/>
      <c r="D122" s="183"/>
      <c r="E122" s="183"/>
      <c r="F122" s="183"/>
      <c r="G122" s="183"/>
      <c r="H122" s="183"/>
      <c r="I122"/>
      <c r="J122" s="183"/>
      <c r="K122" s="183"/>
      <c r="L122" s="537"/>
    </row>
    <row r="123" spans="1:12" ht="16.5">
      <c r="A123"/>
      <c r="B123" s="183"/>
      <c r="C123" s="183"/>
      <c r="D123" s="183"/>
      <c r="E123" s="183"/>
      <c r="F123" s="183"/>
      <c r="G123" s="183"/>
      <c r="H123" s="183"/>
      <c r="I123"/>
      <c r="J123" s="183"/>
      <c r="K123" s="183"/>
      <c r="L123" s="537"/>
    </row>
    <row r="124" spans="1:12" ht="16.5">
      <c r="A124"/>
      <c r="B124" s="183"/>
      <c r="C124" s="183"/>
      <c r="D124" s="183"/>
      <c r="E124" s="183"/>
      <c r="F124" s="183"/>
      <c r="G124" s="183"/>
      <c r="H124" s="183"/>
      <c r="I124"/>
      <c r="J124" s="183"/>
      <c r="K124" s="183"/>
      <c r="L124" s="537"/>
    </row>
    <row r="125" spans="1:12" ht="16.5">
      <c r="A125"/>
      <c r="B125" s="183"/>
      <c r="C125" s="183"/>
      <c r="D125" s="183"/>
      <c r="E125" s="183"/>
      <c r="F125" s="183"/>
      <c r="G125" s="183"/>
      <c r="H125" s="183"/>
      <c r="I125"/>
      <c r="J125" s="183"/>
      <c r="K125" s="183"/>
      <c r="L125" s="537"/>
    </row>
    <row r="126" spans="1:12" ht="16.5">
      <c r="A126"/>
      <c r="B126" s="183"/>
      <c r="C126" s="183"/>
      <c r="D126" s="183"/>
      <c r="E126" s="183"/>
      <c r="F126" s="183"/>
      <c r="G126" s="183"/>
      <c r="H126" s="183"/>
      <c r="I126"/>
      <c r="J126" s="183"/>
      <c r="K126" s="183"/>
      <c r="L126" s="537"/>
    </row>
    <row r="127" spans="1:12" ht="16.5">
      <c r="A127"/>
      <c r="B127" s="183"/>
      <c r="C127" s="183"/>
      <c r="D127" s="183"/>
      <c r="E127" s="183"/>
      <c r="F127" s="183"/>
      <c r="G127" s="183"/>
      <c r="H127" s="183"/>
      <c r="I127"/>
      <c r="J127" s="183"/>
      <c r="K127" s="183"/>
      <c r="L127" s="537"/>
    </row>
    <row r="128" spans="1:12" ht="16.5">
      <c r="A128"/>
      <c r="B128" s="183"/>
      <c r="C128" s="183"/>
      <c r="D128" s="183"/>
      <c r="E128" s="183"/>
      <c r="F128" s="183"/>
      <c r="G128" s="183"/>
      <c r="H128" s="183"/>
      <c r="I128"/>
      <c r="J128" s="183"/>
      <c r="K128" s="183"/>
      <c r="L128" s="537"/>
    </row>
    <row r="129" spans="1:12" ht="16.5">
      <c r="A129"/>
      <c r="B129" s="183"/>
      <c r="C129" s="183"/>
      <c r="D129" s="183"/>
      <c r="E129" s="183"/>
      <c r="F129" s="183"/>
      <c r="G129" s="183"/>
      <c r="H129" s="183"/>
      <c r="I129"/>
      <c r="J129" s="183"/>
      <c r="K129" s="183"/>
      <c r="L129" s="537"/>
    </row>
    <row r="130" spans="1:12" ht="16.5">
      <c r="A130"/>
      <c r="B130" s="183"/>
      <c r="C130" s="183"/>
      <c r="D130" s="183"/>
      <c r="E130" s="183"/>
      <c r="F130" s="183"/>
      <c r="G130" s="183"/>
      <c r="H130" s="183"/>
      <c r="I130"/>
      <c r="J130" s="183"/>
      <c r="K130" s="183"/>
      <c r="L130" s="537"/>
    </row>
    <row r="131" spans="1:12" ht="16.5">
      <c r="A131"/>
      <c r="B131" s="183"/>
      <c r="C131" s="183"/>
      <c r="D131" s="183"/>
      <c r="E131" s="183"/>
      <c r="F131" s="183"/>
      <c r="G131" s="183"/>
      <c r="H131" s="183"/>
      <c r="I131"/>
      <c r="J131" s="183"/>
      <c r="K131" s="183"/>
      <c r="L131" s="537"/>
    </row>
    <row r="132" spans="1:12" ht="16.5">
      <c r="A132"/>
      <c r="B132" s="183"/>
      <c r="C132" s="183"/>
      <c r="D132" s="183"/>
      <c r="E132" s="183"/>
      <c r="F132" s="183"/>
      <c r="G132" s="183"/>
      <c r="H132" s="183"/>
      <c r="I132"/>
      <c r="J132" s="183"/>
      <c r="K132" s="183"/>
      <c r="L132" s="537"/>
    </row>
    <row r="133" spans="1:12" ht="16.5">
      <c r="A133"/>
      <c r="B133" s="183"/>
      <c r="C133" s="183"/>
      <c r="D133" s="183"/>
      <c r="E133" s="183"/>
      <c r="F133" s="183"/>
      <c r="G133" s="183"/>
      <c r="H133" s="183"/>
      <c r="I133"/>
      <c r="J133" s="183"/>
      <c r="K133" s="183"/>
      <c r="L133" s="537"/>
    </row>
    <row r="134" spans="1:12" ht="16.5">
      <c r="A134"/>
      <c r="B134" s="183"/>
      <c r="C134" s="183"/>
      <c r="D134" s="183"/>
      <c r="E134" s="183"/>
      <c r="F134" s="183"/>
      <c r="G134" s="183"/>
      <c r="H134" s="183"/>
      <c r="I134"/>
      <c r="J134" s="183"/>
      <c r="K134" s="183"/>
      <c r="L134" s="537"/>
    </row>
    <row r="135" spans="1:12" ht="16.5">
      <c r="A135"/>
      <c r="B135" s="183"/>
      <c r="C135" s="183"/>
      <c r="D135" s="183"/>
      <c r="E135" s="183"/>
      <c r="F135" s="183"/>
      <c r="G135" s="183"/>
      <c r="H135" s="183"/>
      <c r="I135"/>
      <c r="J135" s="183"/>
      <c r="K135" s="183"/>
      <c r="L135" s="537"/>
    </row>
    <row r="136" spans="1:12" ht="16.5">
      <c r="A136"/>
      <c r="B136" s="183"/>
      <c r="C136" s="183"/>
      <c r="D136" s="183"/>
      <c r="E136" s="183"/>
      <c r="F136" s="183"/>
      <c r="G136" s="183"/>
      <c r="H136" s="183"/>
      <c r="I136"/>
      <c r="J136" s="183"/>
      <c r="K136" s="183"/>
      <c r="L136" s="537"/>
    </row>
    <row r="137" spans="1:12" ht="16.5">
      <c r="A137"/>
      <c r="B137" s="183"/>
      <c r="C137" s="183"/>
      <c r="D137" s="183"/>
      <c r="E137" s="183"/>
      <c r="F137" s="183"/>
      <c r="G137" s="183"/>
      <c r="H137" s="183"/>
      <c r="I137"/>
      <c r="J137" s="183"/>
      <c r="K137" s="183"/>
      <c r="L137" s="537"/>
    </row>
    <row r="138" spans="1:12" ht="16.5">
      <c r="A138"/>
      <c r="B138" s="183"/>
      <c r="C138" s="183"/>
      <c r="D138" s="183"/>
      <c r="E138" s="183"/>
      <c r="F138" s="183"/>
      <c r="G138" s="183"/>
      <c r="H138" s="183"/>
      <c r="I138"/>
      <c r="J138" s="183"/>
      <c r="K138" s="183"/>
      <c r="L138" s="537"/>
    </row>
    <row r="139" spans="1:12" ht="16.5">
      <c r="A139"/>
      <c r="B139" s="183"/>
      <c r="C139" s="183"/>
      <c r="D139" s="183"/>
      <c r="E139" s="183"/>
      <c r="F139" s="183"/>
      <c r="G139" s="183"/>
      <c r="H139" s="183"/>
      <c r="I139"/>
      <c r="J139" s="183"/>
      <c r="K139" s="183"/>
      <c r="L139" s="537"/>
    </row>
    <row r="140" spans="1:12" ht="16.5">
      <c r="A140"/>
      <c r="B140" s="183"/>
      <c r="C140" s="183"/>
      <c r="D140" s="183"/>
      <c r="E140" s="183"/>
      <c r="F140" s="183"/>
      <c r="G140" s="183"/>
      <c r="H140" s="183"/>
      <c r="I140"/>
      <c r="J140" s="183"/>
      <c r="K140" s="183"/>
      <c r="L140" s="537"/>
    </row>
    <row r="141" spans="1:12" ht="16.5">
      <c r="A141"/>
      <c r="B141" s="183"/>
      <c r="C141" s="183"/>
      <c r="D141" s="183"/>
      <c r="E141" s="183"/>
      <c r="F141" s="183"/>
      <c r="G141" s="183"/>
      <c r="H141" s="183"/>
      <c r="I141"/>
      <c r="J141" s="183"/>
      <c r="K141" s="183"/>
      <c r="L141" s="537"/>
    </row>
    <row r="142" spans="1:12" ht="16.5">
      <c r="A142"/>
      <c r="B142" s="183"/>
      <c r="C142" s="183"/>
      <c r="D142" s="183"/>
      <c r="E142" s="183"/>
      <c r="F142" s="183"/>
      <c r="G142" s="183"/>
      <c r="H142" s="183"/>
      <c r="I142"/>
      <c r="J142" s="183"/>
      <c r="K142" s="183"/>
      <c r="L142" s="537"/>
    </row>
    <row r="143" spans="1:12" ht="16.5">
      <c r="A143"/>
      <c r="B143" s="183"/>
      <c r="C143" s="183"/>
      <c r="D143" s="183"/>
      <c r="E143" s="183"/>
      <c r="F143" s="183"/>
      <c r="G143" s="183"/>
      <c r="H143" s="183"/>
      <c r="I143"/>
      <c r="J143" s="183"/>
      <c r="K143" s="183"/>
      <c r="L143" s="537"/>
    </row>
    <row r="144" spans="1:12" ht="16.5">
      <c r="A144"/>
      <c r="B144" s="183"/>
      <c r="C144" s="183"/>
      <c r="D144" s="183"/>
      <c r="E144" s="183"/>
      <c r="F144" s="183"/>
      <c r="G144" s="183"/>
      <c r="H144" s="183"/>
      <c r="I144"/>
      <c r="J144" s="183"/>
      <c r="K144" s="183"/>
      <c r="L144" s="537"/>
    </row>
    <row r="145" spans="1:12" ht="16.5">
      <c r="A145"/>
      <c r="B145" s="183"/>
      <c r="C145" s="183"/>
      <c r="D145" s="183"/>
      <c r="E145" s="183"/>
      <c r="F145" s="183"/>
      <c r="G145" s="183"/>
      <c r="H145" s="183"/>
      <c r="I145"/>
      <c r="J145" s="183"/>
      <c r="K145" s="183"/>
      <c r="L145" s="537"/>
    </row>
    <row r="146" spans="1:12" ht="16.5">
      <c r="A146"/>
      <c r="B146" s="183"/>
      <c r="C146" s="183"/>
      <c r="D146" s="183"/>
      <c r="E146" s="183"/>
      <c r="F146" s="183"/>
      <c r="G146" s="183"/>
      <c r="H146" s="183"/>
      <c r="I146"/>
      <c r="J146" s="183"/>
      <c r="K146" s="183"/>
      <c r="L146" s="537"/>
    </row>
    <row r="147" spans="1:12" ht="16.5">
      <c r="A147"/>
      <c r="B147" s="183"/>
      <c r="C147" s="183"/>
      <c r="D147" s="183"/>
      <c r="E147" s="183"/>
      <c r="F147" s="183"/>
      <c r="G147" s="183"/>
      <c r="H147" s="183"/>
      <c r="I147"/>
      <c r="J147" s="183"/>
      <c r="K147" s="183"/>
      <c r="L147" s="537"/>
    </row>
    <row r="148" spans="1:12" ht="16.5">
      <c r="A148"/>
      <c r="B148" s="183"/>
      <c r="C148" s="183"/>
      <c r="D148" s="183"/>
      <c r="E148" s="183"/>
      <c r="F148" s="183"/>
      <c r="G148" s="183"/>
      <c r="H148" s="183"/>
      <c r="I148"/>
      <c r="J148" s="183"/>
      <c r="K148" s="183"/>
      <c r="L148" s="537"/>
    </row>
    <row r="149" spans="1:12" ht="16.5">
      <c r="A149"/>
      <c r="B149" s="183"/>
      <c r="C149" s="183"/>
      <c r="D149" s="183"/>
      <c r="E149" s="183"/>
      <c r="F149" s="183"/>
      <c r="G149" s="183"/>
      <c r="H149" s="183"/>
      <c r="I149"/>
      <c r="J149" s="183"/>
      <c r="K149" s="183"/>
      <c r="L149" s="537"/>
    </row>
    <row r="150" spans="1:12" ht="16.5">
      <c r="A150"/>
      <c r="B150" s="183"/>
      <c r="C150" s="183"/>
      <c r="D150" s="183"/>
      <c r="E150" s="183"/>
      <c r="F150" s="183"/>
      <c r="G150" s="183"/>
      <c r="H150" s="183"/>
      <c r="I150"/>
      <c r="J150" s="183"/>
      <c r="K150" s="183"/>
      <c r="L150" s="537"/>
    </row>
    <row r="151" spans="1:12" ht="16.5">
      <c r="A151"/>
      <c r="B151" s="183"/>
      <c r="C151" s="183"/>
      <c r="D151" s="183"/>
      <c r="E151" s="183"/>
      <c r="F151" s="183"/>
      <c r="G151" s="183"/>
      <c r="H151" s="183"/>
      <c r="I151"/>
      <c r="J151" s="183"/>
      <c r="K151" s="183"/>
      <c r="L151" s="537"/>
    </row>
    <row r="152" spans="1:12" ht="16.5">
      <c r="A152"/>
      <c r="B152" s="183"/>
      <c r="C152" s="183"/>
      <c r="D152" s="183"/>
      <c r="E152" s="183"/>
      <c r="F152" s="183"/>
      <c r="G152" s="183"/>
      <c r="H152" s="183"/>
      <c r="I152"/>
      <c r="J152" s="183"/>
      <c r="K152" s="183"/>
      <c r="L152" s="537"/>
    </row>
    <row r="153" spans="1:12" ht="16.5">
      <c r="A153"/>
      <c r="B153" s="183"/>
      <c r="C153" s="183"/>
      <c r="D153" s="183"/>
      <c r="E153" s="183"/>
      <c r="F153" s="183"/>
      <c r="G153" s="183"/>
      <c r="H153" s="183"/>
      <c r="I153"/>
      <c r="J153" s="183"/>
      <c r="K153" s="183"/>
      <c r="L153" s="537"/>
    </row>
    <row r="154" spans="1:12" ht="16.5">
      <c r="A154"/>
      <c r="B154" s="183"/>
      <c r="C154" s="183"/>
      <c r="D154" s="183"/>
      <c r="E154" s="183"/>
      <c r="F154" s="183"/>
      <c r="G154" s="183"/>
      <c r="H154" s="183"/>
      <c r="I154"/>
      <c r="J154" s="183"/>
      <c r="K154" s="183"/>
      <c r="L154" s="537"/>
    </row>
    <row r="155" spans="1:12" ht="16.5">
      <c r="A155"/>
      <c r="B155" s="183"/>
      <c r="C155" s="183"/>
      <c r="D155" s="183"/>
      <c r="E155" s="183"/>
      <c r="F155" s="183"/>
      <c r="G155" s="183"/>
      <c r="H155" s="183"/>
      <c r="I155"/>
      <c r="J155" s="183"/>
      <c r="K155" s="183"/>
      <c r="L155" s="537"/>
    </row>
    <row r="156" spans="1:12" ht="16.5">
      <c r="A156"/>
      <c r="B156" s="183"/>
      <c r="C156" s="183"/>
      <c r="D156" s="183"/>
      <c r="E156" s="183"/>
      <c r="F156" s="183"/>
      <c r="G156" s="183"/>
      <c r="H156" s="183"/>
      <c r="I156"/>
      <c r="J156" s="183"/>
      <c r="K156" s="183"/>
      <c r="L156" s="537"/>
    </row>
    <row r="157" spans="1:12" ht="16.5">
      <c r="A157"/>
      <c r="B157" s="183"/>
      <c r="C157" s="183"/>
      <c r="D157" s="183"/>
      <c r="E157" s="183"/>
      <c r="F157" s="183"/>
      <c r="G157" s="183"/>
      <c r="H157" s="183"/>
      <c r="I157"/>
      <c r="J157" s="183"/>
      <c r="K157" s="183"/>
      <c r="L157" s="537"/>
    </row>
    <row r="158" spans="1:12" ht="16.5">
      <c r="A158"/>
      <c r="B158" s="183"/>
      <c r="C158" s="183"/>
      <c r="D158" s="183"/>
      <c r="E158" s="183"/>
      <c r="F158" s="183"/>
      <c r="G158" s="183"/>
      <c r="H158" s="183"/>
      <c r="I158"/>
      <c r="J158" s="183"/>
      <c r="K158" s="183"/>
      <c r="L158" s="537"/>
    </row>
    <row r="159" spans="1:12" ht="16.5">
      <c r="A159"/>
      <c r="B159" s="183"/>
      <c r="C159" s="183"/>
      <c r="D159" s="183"/>
      <c r="E159" s="183"/>
      <c r="F159" s="183"/>
      <c r="G159" s="183"/>
      <c r="H159" s="183"/>
      <c r="I159"/>
      <c r="J159" s="183"/>
      <c r="K159" s="183"/>
      <c r="L159" s="537"/>
    </row>
    <row r="160" spans="1:12" ht="16.5">
      <c r="A160"/>
      <c r="B160" s="183"/>
      <c r="C160" s="183"/>
      <c r="D160" s="183"/>
      <c r="E160" s="183"/>
      <c r="F160" s="183"/>
      <c r="G160" s="183"/>
      <c r="H160" s="183"/>
      <c r="I160"/>
      <c r="J160" s="183"/>
      <c r="K160" s="183"/>
      <c r="L160" s="537"/>
    </row>
    <row r="161" spans="1:12" ht="16.5">
      <c r="A161"/>
      <c r="B161" s="183"/>
      <c r="C161" s="183"/>
      <c r="D161" s="183"/>
      <c r="E161" s="183"/>
      <c r="F161" s="183"/>
      <c r="G161" s="183"/>
      <c r="H161" s="183"/>
      <c r="I161"/>
      <c r="J161" s="183"/>
      <c r="K161" s="183"/>
      <c r="L161" s="537"/>
    </row>
    <row r="162" spans="1:12" ht="16.5">
      <c r="A162"/>
      <c r="B162" s="183"/>
      <c r="C162" s="183"/>
      <c r="D162" s="183"/>
      <c r="E162" s="183"/>
      <c r="F162" s="183"/>
      <c r="G162" s="183"/>
      <c r="H162" s="183"/>
      <c r="I162"/>
      <c r="J162" s="183"/>
      <c r="K162" s="183"/>
      <c r="L162" s="537"/>
    </row>
    <row r="163" spans="1:12" ht="16.5">
      <c r="A163"/>
      <c r="B163" s="183"/>
      <c r="C163" s="183"/>
      <c r="D163" s="183"/>
      <c r="E163" s="183"/>
      <c r="F163" s="183"/>
      <c r="G163" s="183"/>
      <c r="H163" s="183"/>
      <c r="I163"/>
      <c r="J163" s="183"/>
      <c r="K163" s="183"/>
      <c r="L163" s="537"/>
    </row>
    <row r="164" spans="1:12" ht="16.5">
      <c r="A164"/>
      <c r="B164" s="183"/>
      <c r="C164" s="183"/>
      <c r="D164" s="183"/>
      <c r="E164" s="183"/>
      <c r="F164" s="183"/>
      <c r="G164" s="183"/>
      <c r="H164" s="183"/>
      <c r="I164"/>
      <c r="J164" s="183"/>
      <c r="K164" s="183"/>
      <c r="L164" s="537"/>
    </row>
    <row r="165" spans="1:12" ht="16.5">
      <c r="A165"/>
      <c r="B165" s="183"/>
      <c r="C165" s="183"/>
      <c r="D165" s="183"/>
      <c r="E165" s="183"/>
      <c r="F165" s="183"/>
      <c r="G165" s="183"/>
      <c r="H165" s="183"/>
      <c r="I165"/>
      <c r="J165" s="183"/>
      <c r="K165" s="183"/>
      <c r="L165" s="537"/>
    </row>
    <row r="166" spans="1:12" ht="16.5">
      <c r="A166"/>
      <c r="B166" s="183"/>
      <c r="C166" s="183"/>
      <c r="D166" s="183"/>
      <c r="E166" s="183"/>
      <c r="F166" s="183"/>
      <c r="G166" s="183"/>
      <c r="H166" s="183"/>
      <c r="I166"/>
      <c r="J166" s="183"/>
      <c r="K166" s="183"/>
      <c r="L166" s="537"/>
    </row>
    <row r="167" spans="1:12" ht="16.5">
      <c r="A167"/>
      <c r="B167" s="183"/>
      <c r="C167" s="183"/>
      <c r="D167" s="183"/>
      <c r="E167" s="183"/>
      <c r="F167" s="183"/>
      <c r="G167" s="183"/>
      <c r="H167" s="183"/>
      <c r="I167"/>
      <c r="J167" s="183"/>
      <c r="K167" s="183"/>
      <c r="L167" s="537"/>
    </row>
    <row r="168" spans="1:12" ht="16.5">
      <c r="A168"/>
      <c r="B168" s="183"/>
      <c r="C168" s="183"/>
      <c r="D168" s="183"/>
      <c r="E168" s="183"/>
      <c r="F168" s="183"/>
      <c r="G168" s="183"/>
      <c r="H168" s="183"/>
      <c r="I168"/>
      <c r="J168" s="183"/>
      <c r="K168" s="183"/>
      <c r="L168" s="537"/>
    </row>
    <row r="169" spans="1:12" ht="16.5">
      <c r="A169"/>
      <c r="B169" s="183"/>
      <c r="C169" s="183"/>
      <c r="D169" s="183"/>
      <c r="E169" s="183"/>
      <c r="F169" s="183"/>
      <c r="G169" s="183"/>
      <c r="H169" s="183"/>
      <c r="I169"/>
      <c r="J169" s="183"/>
      <c r="K169" s="183"/>
      <c r="L169" s="537"/>
    </row>
    <row r="170" spans="1:12" ht="16.5">
      <c r="A170"/>
      <c r="B170" s="183"/>
      <c r="C170" s="183"/>
      <c r="D170" s="183"/>
      <c r="E170" s="183"/>
      <c r="F170" s="183"/>
      <c r="G170" s="183"/>
      <c r="H170" s="183"/>
      <c r="I170"/>
      <c r="J170" s="183"/>
      <c r="K170" s="183"/>
      <c r="L170" s="537"/>
    </row>
    <row r="171" spans="1:12" ht="16.5">
      <c r="A171"/>
      <c r="B171" s="183"/>
      <c r="C171" s="183"/>
      <c r="D171" s="183"/>
      <c r="E171" s="183"/>
      <c r="F171" s="183"/>
      <c r="G171" s="183"/>
      <c r="H171" s="183"/>
      <c r="I171"/>
      <c r="J171" s="183"/>
      <c r="K171" s="183"/>
      <c r="L171" s="537"/>
    </row>
    <row r="172" spans="1:12" ht="16.5">
      <c r="A172"/>
      <c r="B172" s="183"/>
      <c r="C172" s="183"/>
      <c r="D172" s="183"/>
      <c r="E172" s="183"/>
      <c r="F172" s="183"/>
      <c r="G172" s="183"/>
      <c r="H172" s="183"/>
      <c r="I172"/>
      <c r="J172" s="183"/>
      <c r="K172" s="183"/>
      <c r="L172" s="537"/>
    </row>
    <row r="173" spans="1:12" ht="16.5">
      <c r="A173"/>
      <c r="B173" s="183"/>
      <c r="C173" s="183"/>
      <c r="D173" s="183"/>
      <c r="E173" s="183"/>
      <c r="F173" s="183"/>
      <c r="G173" s="183"/>
      <c r="H173" s="183"/>
      <c r="I173"/>
      <c r="J173" s="183"/>
      <c r="K173" s="183"/>
      <c r="L173" s="537"/>
    </row>
    <row r="174" spans="1:12" ht="16.5">
      <c r="A174"/>
      <c r="B174" s="183"/>
      <c r="C174" s="183"/>
      <c r="D174" s="183"/>
      <c r="E174" s="183"/>
      <c r="F174" s="183"/>
      <c r="G174" s="183"/>
      <c r="H174" s="183"/>
      <c r="I174"/>
      <c r="J174" s="183"/>
      <c r="K174" s="183"/>
      <c r="L174" s="537"/>
    </row>
    <row r="175" spans="1:12" ht="16.5">
      <c r="A175"/>
      <c r="B175" s="183"/>
      <c r="C175" s="183"/>
      <c r="D175" s="183"/>
      <c r="E175" s="183"/>
      <c r="F175" s="183"/>
      <c r="G175" s="183"/>
      <c r="H175" s="183"/>
      <c r="I175"/>
      <c r="J175" s="183"/>
      <c r="K175" s="183"/>
      <c r="L175" s="537"/>
    </row>
    <row r="176" spans="1:12" ht="16.5">
      <c r="A176"/>
      <c r="B176" s="183"/>
      <c r="C176" s="183"/>
      <c r="D176" s="183"/>
      <c r="E176" s="183"/>
      <c r="F176" s="183"/>
      <c r="G176" s="183"/>
      <c r="H176" s="183"/>
      <c r="I176"/>
      <c r="J176" s="183"/>
      <c r="K176" s="183"/>
      <c r="L176" s="537"/>
    </row>
    <row r="177" spans="1:12" ht="16.5">
      <c r="A177"/>
      <c r="B177" s="183"/>
      <c r="C177" s="183"/>
      <c r="D177" s="183"/>
      <c r="E177" s="183"/>
      <c r="F177" s="183"/>
      <c r="G177" s="183"/>
      <c r="H177" s="183"/>
      <c r="I177"/>
      <c r="J177" s="183"/>
      <c r="K177" s="183"/>
      <c r="L177" s="537"/>
    </row>
    <row r="178" spans="1:12" ht="16.5">
      <c r="A178"/>
      <c r="B178" s="183"/>
      <c r="C178" s="183"/>
      <c r="D178" s="183"/>
      <c r="E178" s="183"/>
      <c r="F178" s="183"/>
      <c r="G178" s="183"/>
      <c r="H178" s="183"/>
      <c r="I178"/>
      <c r="J178" s="183"/>
      <c r="K178" s="183"/>
      <c r="L178" s="537"/>
    </row>
    <row r="179" spans="1:12" ht="16.5">
      <c r="A179"/>
      <c r="B179" s="183"/>
      <c r="C179" s="183"/>
      <c r="D179" s="183"/>
      <c r="E179" s="183"/>
      <c r="F179" s="183"/>
      <c r="G179" s="183"/>
      <c r="H179" s="183"/>
      <c r="I179"/>
      <c r="J179" s="183"/>
      <c r="K179" s="183"/>
      <c r="L179" s="537"/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7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7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7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7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7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7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7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7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7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7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7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7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7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7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7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7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7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7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7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7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7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7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7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7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7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7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7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7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7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7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7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7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7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7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7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7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7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7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7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7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7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7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7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7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7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7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7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7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7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7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7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7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7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7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7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7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7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7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7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7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7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7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7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7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7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7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7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7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7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7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7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7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7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7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7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7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7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7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7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7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7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7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7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7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7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7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7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7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7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7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7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7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7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7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7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7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7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7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7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7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7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7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7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7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7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7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7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7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7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7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7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7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7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7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7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7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7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7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7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7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7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7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7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7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7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7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7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7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7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7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7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7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7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7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7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7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7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7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7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7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7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7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7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7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7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7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7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7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7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7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7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7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7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7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7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7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7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7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7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7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7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7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7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7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7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7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7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7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7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7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7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7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7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7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7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7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7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7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7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7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7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7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7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7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7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7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7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7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7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7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7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7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7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7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7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7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7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7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7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7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7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7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7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7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7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7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7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7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7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7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7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7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7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7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7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7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7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7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7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7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7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6838</v>
      </c>
      <c r="C3" s="509" t="s">
        <v>6839</v>
      </c>
      <c r="D3" s="509" t="s">
        <v>6840</v>
      </c>
      <c r="E3" s="509" t="s">
        <v>6841</v>
      </c>
    </row>
    <row r="4" spans="2:5">
      <c r="B4" s="500" t="s">
        <v>6080</v>
      </c>
      <c r="C4" s="500" t="s">
        <v>6081</v>
      </c>
      <c r="D4" s="508">
        <f>VLOOKUP(B4,WMS용마재고!$A:$L,12,0)</f>
        <v>107</v>
      </c>
      <c r="E4" s="487"/>
    </row>
    <row r="5" spans="2:5">
      <c r="B5" s="500" t="s">
        <v>6308</v>
      </c>
      <c r="C5" s="500" t="s">
        <v>6309</v>
      </c>
      <c r="D5" s="508">
        <f>VLOOKUP(B5,WMS용마재고!$A:$L,12,0)</f>
        <v>2306</v>
      </c>
      <c r="E5" s="487"/>
    </row>
    <row r="6" spans="2:5">
      <c r="B6" s="500" t="s">
        <v>6074</v>
      </c>
      <c r="C6" s="500" t="s">
        <v>6075</v>
      </c>
      <c r="D6" s="508">
        <f>VLOOKUP(B6,WMS용마재고!$A:$L,12,0)</f>
        <v>119</v>
      </c>
      <c r="E6" s="487"/>
    </row>
    <row r="7" spans="2:5">
      <c r="B7" s="500" t="s">
        <v>6076</v>
      </c>
      <c r="C7" s="500" t="s">
        <v>6077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6078</v>
      </c>
      <c r="C9" s="500" t="s">
        <v>6079</v>
      </c>
      <c r="D9" s="508">
        <f>VLOOKUP(B9,WMS용마재고!$A:$L,12,0)</f>
        <v>64</v>
      </c>
      <c r="E9" s="487"/>
    </row>
    <row r="10" spans="2:5">
      <c r="B10" s="500" t="s">
        <v>6821</v>
      </c>
      <c r="C10" s="500" t="s">
        <v>6822</v>
      </c>
      <c r="D10" s="508">
        <f>VLOOKUP(B10,WMS용마재고!$A:$L,12,0)</f>
        <v>181</v>
      </c>
      <c r="E10" s="487"/>
    </row>
    <row r="11" spans="2:5">
      <c r="B11" s="500" t="s">
        <v>5691</v>
      </c>
      <c r="C11" s="500" t="s">
        <v>5692</v>
      </c>
      <c r="D11" s="508">
        <f>VLOOKUP(B11,WMS용마재고!$A:$L,12,0)</f>
        <v>1877</v>
      </c>
      <c r="E11" s="487"/>
    </row>
    <row r="12" spans="2:5">
      <c r="B12" s="500" t="s">
        <v>6315</v>
      </c>
      <c r="C12" s="500" t="s">
        <v>6316</v>
      </c>
      <c r="D12" s="508">
        <f>VLOOKUP(B12,WMS용마재고!$A:$L,12,0)</f>
        <v>107</v>
      </c>
      <c r="E12" s="487"/>
    </row>
    <row r="13" spans="2:5">
      <c r="B13" s="500" t="s">
        <v>5760</v>
      </c>
      <c r="C13" s="500" t="s">
        <v>5761</v>
      </c>
      <c r="D13" s="508">
        <f>VLOOKUP(B13,WMS용마재고!$A:$L,12,0)</f>
        <v>195</v>
      </c>
      <c r="E13" s="487"/>
    </row>
    <row r="14" spans="2:5">
      <c r="B14" s="500" t="s">
        <v>5529</v>
      </c>
      <c r="C14" s="500" t="s">
        <v>5530</v>
      </c>
      <c r="D14" s="508">
        <f>VLOOKUP(B14,WMS용마재고!$A:$L,12,0)</f>
        <v>184</v>
      </c>
      <c r="E14" s="487"/>
    </row>
    <row r="15" spans="2:5">
      <c r="B15" s="500" t="s">
        <v>5762</v>
      </c>
      <c r="C15" s="500" t="s">
        <v>5763</v>
      </c>
      <c r="D15" s="508">
        <f>VLOOKUP(B15,WMS용마재고!$A:$L,12,0)</f>
        <v>209</v>
      </c>
      <c r="E15" s="487"/>
    </row>
    <row r="16" spans="2:5">
      <c r="B16" s="500" t="s">
        <v>5766</v>
      </c>
      <c r="C16" s="500" t="s">
        <v>5767</v>
      </c>
      <c r="D16" s="508">
        <f>VLOOKUP(B16,WMS용마재고!$A:$L,12,0)</f>
        <v>796</v>
      </c>
      <c r="E16" s="487"/>
    </row>
    <row r="17" spans="2:5">
      <c r="B17" s="500" t="s">
        <v>5758</v>
      </c>
      <c r="C17" s="500" t="s">
        <v>5759</v>
      </c>
      <c r="D17" s="508">
        <f>VLOOKUP(B17,WMS용마재고!$A:$L,12,0)</f>
        <v>261</v>
      </c>
      <c r="E17" s="487"/>
    </row>
    <row r="18" spans="2:5">
      <c r="B18" s="500" t="s">
        <v>6132</v>
      </c>
      <c r="C18" s="500" t="s">
        <v>6133</v>
      </c>
      <c r="D18" s="508">
        <f>VLOOKUP(B18,WMS용마재고!$A:$L,12,0)</f>
        <v>91</v>
      </c>
      <c r="E18" s="487"/>
    </row>
    <row r="19" spans="2:5">
      <c r="B19" s="500" t="s">
        <v>6085</v>
      </c>
      <c r="C19" s="500" t="s">
        <v>5045</v>
      </c>
      <c r="D19" s="508">
        <f>VLOOKUP(B19,WMS용마재고!$A:$L,12,0)</f>
        <v>109</v>
      </c>
      <c r="E19" s="487"/>
    </row>
    <row r="20" spans="2:5">
      <c r="B20" s="500" t="s">
        <v>5223</v>
      </c>
      <c r="C20" s="500" t="s">
        <v>5224</v>
      </c>
      <c r="D20" s="508">
        <f>VLOOKUP(B20,WMS용마재고!$A:$L,12,0)</f>
        <v>733</v>
      </c>
      <c r="E20" s="487"/>
    </row>
    <row r="21" spans="2:5">
      <c r="B21" s="500" t="s">
        <v>5756</v>
      </c>
      <c r="C21" s="500" t="s">
        <v>5757</v>
      </c>
      <c r="D21" s="508">
        <f>VLOOKUP(B21,WMS용마재고!$A:$L,12,0)</f>
        <v>230</v>
      </c>
      <c r="E21" s="487"/>
    </row>
    <row r="22" spans="2:5">
      <c r="B22" s="500" t="s">
        <v>5525</v>
      </c>
      <c r="C22" s="500" t="s">
        <v>5526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6" t="s">
        <v>4645</v>
      </c>
      <c r="B1" s="686"/>
      <c r="C1" s="686"/>
      <c r="E1" s="687" t="s">
        <v>4608</v>
      </c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</row>
    <row r="2" spans="1:52" s="455" customFormat="1">
      <c r="A2" s="454" t="s">
        <v>4771</v>
      </c>
      <c r="B2" s="454" t="s">
        <v>4768</v>
      </c>
      <c r="C2" s="454" t="s">
        <v>4766</v>
      </c>
      <c r="E2" s="456" t="s">
        <v>4848</v>
      </c>
      <c r="F2" s="457" t="s">
        <v>4784</v>
      </c>
      <c r="G2" s="457" t="s">
        <v>4845</v>
      </c>
      <c r="H2" s="457" t="s">
        <v>4846</v>
      </c>
      <c r="I2" s="457" t="s">
        <v>4805</v>
      </c>
      <c r="J2" s="457" t="s">
        <v>4775</v>
      </c>
      <c r="K2" s="457" t="s">
        <v>4778</v>
      </c>
      <c r="L2" s="457" t="s">
        <v>4779</v>
      </c>
      <c r="M2" s="457" t="s">
        <v>4806</v>
      </c>
      <c r="N2" s="457" t="s">
        <v>4777</v>
      </c>
      <c r="O2" s="457" t="s">
        <v>4672</v>
      </c>
      <c r="P2" s="457" t="s">
        <v>4755</v>
      </c>
      <c r="Q2" s="457" t="s">
        <v>4774</v>
      </c>
      <c r="R2" s="457" t="s">
        <v>4756</v>
      </c>
      <c r="S2" s="457" t="s">
        <v>4835</v>
      </c>
      <c r="T2" s="457" t="s">
        <v>4817</v>
      </c>
      <c r="U2" s="457" t="s">
        <v>4824</v>
      </c>
      <c r="V2" s="457" t="s">
        <v>4823</v>
      </c>
      <c r="W2" s="457" t="s">
        <v>4822</v>
      </c>
      <c r="X2" s="457" t="s">
        <v>4821</v>
      </c>
      <c r="Y2" s="457" t="s">
        <v>4826</v>
      </c>
      <c r="Z2" s="457" t="s">
        <v>4787</v>
      </c>
      <c r="AA2" s="457" t="s">
        <v>4820</v>
      </c>
      <c r="AB2" s="458" t="s">
        <v>4770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4965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4776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4783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4785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4786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4816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4966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4825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4770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4847</v>
      </c>
      <c r="F18" s="468" t="s">
        <v>4809</v>
      </c>
      <c r="G18" s="468" t="s">
        <v>4790</v>
      </c>
      <c r="H18" s="468" t="s">
        <v>4794</v>
      </c>
      <c r="I18" s="468" t="s">
        <v>4836</v>
      </c>
      <c r="J18" s="468" t="s">
        <v>4791</v>
      </c>
      <c r="K18" s="468" t="s">
        <v>4838</v>
      </c>
      <c r="L18" s="468" t="s">
        <v>4830</v>
      </c>
      <c r="M18" s="468" t="s">
        <v>4793</v>
      </c>
      <c r="N18" s="468" t="s">
        <v>4829</v>
      </c>
      <c r="O18" s="468" t="s">
        <v>4839</v>
      </c>
      <c r="P18" s="468" t="s">
        <v>4842</v>
      </c>
      <c r="Q18" s="468" t="s">
        <v>4828</v>
      </c>
      <c r="R18" s="468" t="s">
        <v>4799</v>
      </c>
      <c r="S18" s="468" t="s">
        <v>4804</v>
      </c>
      <c r="T18" s="468" t="s">
        <v>4813</v>
      </c>
      <c r="U18" s="468" t="s">
        <v>4792</v>
      </c>
      <c r="V18" s="468" t="s">
        <v>4796</v>
      </c>
      <c r="W18" s="468" t="s">
        <v>4814</v>
      </c>
      <c r="X18" s="468" t="s">
        <v>4837</v>
      </c>
      <c r="Y18" s="468" t="s">
        <v>4769</v>
      </c>
      <c r="Z18" s="468" t="s">
        <v>4833</v>
      </c>
      <c r="AA18" s="468" t="s">
        <v>4767</v>
      </c>
      <c r="AB18" s="468" t="s">
        <v>4840</v>
      </c>
      <c r="AC18" s="468" t="s">
        <v>4832</v>
      </c>
      <c r="AD18" s="468" t="s">
        <v>4802</v>
      </c>
      <c r="AE18" s="468" t="s">
        <v>4831</v>
      </c>
      <c r="AF18" s="468" t="s">
        <v>4800</v>
      </c>
      <c r="AG18" s="468" t="s">
        <v>4801</v>
      </c>
      <c r="AH18" s="468" t="s">
        <v>4773</v>
      </c>
      <c r="AI18" s="468" t="s">
        <v>4815</v>
      </c>
      <c r="AJ18" s="468" t="s">
        <v>4789</v>
      </c>
      <c r="AK18" s="468" t="s">
        <v>4812</v>
      </c>
      <c r="AL18" s="468" t="s">
        <v>4788</v>
      </c>
      <c r="AM18" s="468" t="s">
        <v>4844</v>
      </c>
      <c r="AN18" s="468" t="s">
        <v>4803</v>
      </c>
      <c r="AO18" s="468" t="s">
        <v>4827</v>
      </c>
      <c r="AP18" s="468" t="s">
        <v>4795</v>
      </c>
      <c r="AQ18" s="468" t="s">
        <v>4843</v>
      </c>
      <c r="AR18" s="468" t="s">
        <v>4818</v>
      </c>
      <c r="AS18" s="468" t="s">
        <v>4810</v>
      </c>
      <c r="AT18" s="468" t="s">
        <v>4834</v>
      </c>
      <c r="AU18" s="468" t="s">
        <v>4841</v>
      </c>
      <c r="AV18" s="468" t="s">
        <v>4797</v>
      </c>
      <c r="AW18" s="468" t="s">
        <v>4819</v>
      </c>
      <c r="AX18" s="468" t="s">
        <v>4811</v>
      </c>
      <c r="AY18" s="468" t="s">
        <v>4808</v>
      </c>
      <c r="AZ18" s="468" t="s">
        <v>4770</v>
      </c>
    </row>
    <row r="19" spans="5:52">
      <c r="E19" s="469" t="s">
        <v>4768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4807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4766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4798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4770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4850</v>
      </c>
      <c r="F29" s="475" t="s">
        <v>4774</v>
      </c>
      <c r="G29" s="475" t="s">
        <v>4756</v>
      </c>
      <c r="H29" s="475" t="s">
        <v>4835</v>
      </c>
      <c r="I29" s="475" t="s">
        <v>4824</v>
      </c>
      <c r="J29" s="475" t="s">
        <v>4826</v>
      </c>
      <c r="K29" s="475" t="s">
        <v>4820</v>
      </c>
      <c r="L29" s="475" t="s">
        <v>4770</v>
      </c>
    </row>
    <row r="30" spans="5:52" ht="16.5">
      <c r="E30" s="449" t="s">
        <v>4849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4770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2</vt:i4>
      </vt:variant>
    </vt:vector>
  </HeadingPairs>
  <TitlesOfParts>
    <vt:vector size="14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2026-06-30T00:11:46Z</dcterms:modified>
</cp:coreProperties>
</file>